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Marketing\Website\Documentation for Website\PIL\APS\GWM\Vestra US Solution Documentation\Illustration Generator\"/>
    </mc:Choice>
  </mc:AlternateContent>
  <workbookProtection workbookAlgorithmName="SHA-512" workbookHashValue="N93Pcr68Z18aBS/TwAi7hAvsCzga7qrAaFgT/NIsEaQ9/F6YQlHonUac1SjoKEgrYF2hNBWSATHrYEg2+J4Lnw==" workbookSaltValue="1JkfF2WV3cXR9kGgzvmVyA==" workbookSpinCount="100000" lockStructure="1"/>
  <bookViews>
    <workbookView xWindow="0" yWindow="0" windowWidth="28800" windowHeight="13125" tabRatio="865"/>
  </bookViews>
  <sheets>
    <sheet name="Illustration Data Entry" sheetId="6" r:id="rId1"/>
    <sheet name="Illustration" sheetId="162" r:id="rId2"/>
    <sheet name="Calculation 1" sheetId="166" state="hidden" r:id="rId3"/>
    <sheet name="Calculation 2" sheetId="165" state="hidden" r:id="rId4"/>
    <sheet name="Calculation 3" sheetId="167" state="hidden" r:id="rId5"/>
    <sheet name="Sheet1" sheetId="168" state="hidden" r:id="rId6"/>
  </sheets>
  <definedNames>
    <definedName name="_xlnm.Print_Area" localSheetId="1">Illustration!$B$2:$AO$64</definedName>
    <definedName name="_xlnm.Print_Area" localSheetId="0">'Illustration Data Entry'!$B$2:$Q$102</definedName>
    <definedName name="Text19" localSheetId="1">Illustration!#REF!</definedName>
  </definedNames>
  <calcPr calcId="152511"/>
</workbook>
</file>

<file path=xl/calcChain.xml><?xml version="1.0" encoding="utf-8"?>
<calcChain xmlns="http://schemas.openxmlformats.org/spreadsheetml/2006/main">
  <c r="X124" i="6" l="1"/>
  <c r="V124" i="6"/>
  <c r="K95" i="6" l="1"/>
  <c r="K89" i="6"/>
  <c r="F4" i="167"/>
  <c r="F5" i="167"/>
  <c r="F6" i="167"/>
  <c r="F7" i="167"/>
  <c r="F8" i="167"/>
  <c r="F3" i="167"/>
  <c r="F4" i="165"/>
  <c r="F5" i="165"/>
  <c r="F6" i="165"/>
  <c r="F7" i="165"/>
  <c r="F8" i="165"/>
  <c r="F3" i="165"/>
  <c r="F4" i="166"/>
  <c r="F5" i="166"/>
  <c r="F6" i="166"/>
  <c r="F7" i="166"/>
  <c r="F8" i="166"/>
  <c r="F3" i="166"/>
  <c r="F9" i="165"/>
  <c r="V156" i="6"/>
  <c r="AA95" i="6" l="1"/>
  <c r="AG106" i="6"/>
  <c r="AG113" i="6" l="1"/>
  <c r="AG114" i="6"/>
  <c r="AG115" i="6"/>
  <c r="AG116" i="6"/>
  <c r="AG117" i="6"/>
  <c r="AG107" i="6"/>
  <c r="AG108" i="6"/>
  <c r="AG109" i="6"/>
  <c r="AG110" i="6"/>
  <c r="C44" i="162" l="1"/>
  <c r="W40" i="162"/>
  <c r="Q40" i="162"/>
  <c r="B6" i="166" s="1"/>
  <c r="K40" i="162"/>
  <c r="E40" i="162"/>
  <c r="B5" i="167" s="1"/>
  <c r="E97" i="6"/>
  <c r="N95" i="6"/>
  <c r="B6" i="165" l="1"/>
  <c r="B6" i="167"/>
  <c r="B5" i="166"/>
  <c r="B5" i="165"/>
  <c r="N76" i="6"/>
  <c r="B9" i="167" s="1"/>
  <c r="N74" i="6"/>
  <c r="B9" i="165" s="1"/>
  <c r="N72" i="6"/>
  <c r="B9" i="166" s="1"/>
  <c r="B15" i="167"/>
  <c r="B15" i="165"/>
  <c r="B15" i="166"/>
  <c r="Y147" i="166" s="1"/>
  <c r="E30" i="6"/>
  <c r="U100" i="6"/>
  <c r="I15" i="6"/>
  <c r="AG128" i="6"/>
  <c r="AG129" i="6"/>
  <c r="AG130" i="6"/>
  <c r="AG131" i="6"/>
  <c r="AG127" i="6"/>
  <c r="AG126" i="6"/>
  <c r="AG121" i="6"/>
  <c r="AG122" i="6"/>
  <c r="AG123" i="6"/>
  <c r="AG124" i="6"/>
  <c r="AG120" i="6"/>
  <c r="AG119" i="6"/>
  <c r="AG112" i="6"/>
  <c r="AG105" i="6"/>
  <c r="AI21" i="162"/>
  <c r="AI20" i="162"/>
  <c r="V161" i="6"/>
  <c r="V165" i="6" s="1"/>
  <c r="V167" i="6"/>
  <c r="V168" i="6"/>
  <c r="Q39" i="162"/>
  <c r="V162" i="6"/>
  <c r="V166" i="6"/>
  <c r="N63" i="6"/>
  <c r="B8" i="165" s="1"/>
  <c r="C11" i="162"/>
  <c r="K39" i="162"/>
  <c r="E39" i="162"/>
  <c r="K33" i="162"/>
  <c r="V126" i="6"/>
  <c r="V144" i="6" s="1"/>
  <c r="V138" i="6"/>
  <c r="V134" i="6"/>
  <c r="V143" i="6" s="1"/>
  <c r="V130" i="6"/>
  <c r="E13" i="162"/>
  <c r="E11" i="162"/>
  <c r="C46" i="162"/>
  <c r="C45" i="162"/>
  <c r="C42" i="162"/>
  <c r="AC42" i="162"/>
  <c r="W42" i="162"/>
  <c r="Q42" i="162"/>
  <c r="K42" i="162"/>
  <c r="E42" i="162"/>
  <c r="H10" i="162"/>
  <c r="E12" i="162"/>
  <c r="H11" i="162"/>
  <c r="AC33" i="162"/>
  <c r="AC34" i="162"/>
  <c r="V119" i="6"/>
  <c r="E26" i="6" s="1"/>
  <c r="C10" i="162" s="1"/>
  <c r="AC18" i="162"/>
  <c r="AC19" i="162"/>
  <c r="AC20" i="162"/>
  <c r="AC21" i="162"/>
  <c r="E20" i="162"/>
  <c r="E19" i="162"/>
  <c r="AI19" i="162"/>
  <c r="E18" i="162"/>
  <c r="AI18" i="162" s="1"/>
  <c r="E21" i="162"/>
  <c r="C18" i="162"/>
  <c r="C19" i="162"/>
  <c r="C20" i="162"/>
  <c r="C21" i="162"/>
  <c r="V164" i="6"/>
  <c r="V163" i="6"/>
  <c r="AC40" i="162"/>
  <c r="C30" i="162"/>
  <c r="E19" i="6"/>
  <c r="C16" i="162"/>
  <c r="B12" i="166"/>
  <c r="B14" i="166"/>
  <c r="AG28" i="162"/>
  <c r="C28" i="162"/>
  <c r="AG22" i="162"/>
  <c r="AG27" i="162"/>
  <c r="AG26" i="162"/>
  <c r="C27" i="162"/>
  <c r="C26" i="162"/>
  <c r="N60" i="6"/>
  <c r="K60" i="6"/>
  <c r="N56" i="6"/>
  <c r="K56" i="6"/>
  <c r="AI4" i="162"/>
  <c r="B3" i="166"/>
  <c r="G25" i="166" s="1"/>
  <c r="R25" i="166" s="1"/>
  <c r="B2" i="166"/>
  <c r="B3" i="167"/>
  <c r="G25" i="167" s="1"/>
  <c r="R25" i="167" s="1"/>
  <c r="B2" i="167"/>
  <c r="D25" i="167" s="1"/>
  <c r="B2" i="165"/>
  <c r="D25" i="165" s="1"/>
  <c r="B3" i="165"/>
  <c r="G25" i="165" s="1"/>
  <c r="R25" i="165" s="1"/>
  <c r="B14" i="165"/>
  <c r="B14" i="167"/>
  <c r="X147" i="166"/>
  <c r="W147" i="166"/>
  <c r="V147" i="166"/>
  <c r="X146" i="166"/>
  <c r="W146" i="166"/>
  <c r="V146" i="166"/>
  <c r="X145" i="166"/>
  <c r="W145" i="166"/>
  <c r="V145" i="166"/>
  <c r="X144" i="166"/>
  <c r="W144" i="166"/>
  <c r="V144" i="166"/>
  <c r="X143" i="166"/>
  <c r="W143" i="166"/>
  <c r="V143" i="166"/>
  <c r="X142" i="166"/>
  <c r="W142" i="166"/>
  <c r="V142" i="166"/>
  <c r="X141" i="166"/>
  <c r="W141" i="166"/>
  <c r="V141" i="166"/>
  <c r="X140" i="166"/>
  <c r="W140" i="166"/>
  <c r="V140" i="166"/>
  <c r="X139" i="166"/>
  <c r="W139" i="166"/>
  <c r="V139" i="166"/>
  <c r="X138" i="166"/>
  <c r="W138" i="166"/>
  <c r="V138" i="166"/>
  <c r="X137" i="166"/>
  <c r="W137" i="166"/>
  <c r="V137" i="166"/>
  <c r="X136" i="166"/>
  <c r="W136" i="166"/>
  <c r="V136" i="166"/>
  <c r="X135" i="166"/>
  <c r="W135" i="166"/>
  <c r="V135" i="166"/>
  <c r="X134" i="166"/>
  <c r="W134" i="166"/>
  <c r="V134" i="166"/>
  <c r="X133" i="166"/>
  <c r="W133" i="166"/>
  <c r="V133" i="166"/>
  <c r="X132" i="166"/>
  <c r="W132" i="166"/>
  <c r="V132" i="166"/>
  <c r="X131" i="166"/>
  <c r="W131" i="166"/>
  <c r="V131" i="166"/>
  <c r="X130" i="166"/>
  <c r="W130" i="166"/>
  <c r="V130" i="166"/>
  <c r="X129" i="166"/>
  <c r="W129" i="166"/>
  <c r="V129" i="166"/>
  <c r="X128" i="166"/>
  <c r="W128" i="166"/>
  <c r="V128" i="166"/>
  <c r="X127" i="166"/>
  <c r="W127" i="166"/>
  <c r="V127" i="166"/>
  <c r="X126" i="166"/>
  <c r="W126" i="166"/>
  <c r="V126" i="166"/>
  <c r="X125" i="166"/>
  <c r="W125" i="166"/>
  <c r="V125" i="166"/>
  <c r="X124" i="166"/>
  <c r="W124" i="166"/>
  <c r="V124" i="166"/>
  <c r="X123" i="166"/>
  <c r="W123" i="166"/>
  <c r="V123" i="166"/>
  <c r="X122" i="166"/>
  <c r="W122" i="166"/>
  <c r="V122" i="166"/>
  <c r="X121" i="166"/>
  <c r="W121" i="166"/>
  <c r="V121" i="166"/>
  <c r="X120" i="166"/>
  <c r="W120" i="166"/>
  <c r="V120" i="166"/>
  <c r="X119" i="166"/>
  <c r="W119" i="166"/>
  <c r="V119" i="166"/>
  <c r="X118" i="166"/>
  <c r="W118" i="166"/>
  <c r="V118" i="166"/>
  <c r="X117" i="166"/>
  <c r="W117" i="166"/>
  <c r="V117" i="166"/>
  <c r="X116" i="166"/>
  <c r="W116" i="166"/>
  <c r="V116" i="166"/>
  <c r="X115" i="166"/>
  <c r="W115" i="166"/>
  <c r="V115" i="166"/>
  <c r="X114" i="166"/>
  <c r="W114" i="166"/>
  <c r="V114" i="166"/>
  <c r="X113" i="166"/>
  <c r="W113" i="166"/>
  <c r="V113" i="166"/>
  <c r="X112" i="166"/>
  <c r="W112" i="166"/>
  <c r="V112" i="166"/>
  <c r="X111" i="166"/>
  <c r="W111" i="166"/>
  <c r="V111" i="166"/>
  <c r="X110" i="166"/>
  <c r="W110" i="166"/>
  <c r="V110" i="166"/>
  <c r="X109" i="166"/>
  <c r="W109" i="166"/>
  <c r="V109" i="166"/>
  <c r="X108" i="166"/>
  <c r="W108" i="166"/>
  <c r="V108" i="166"/>
  <c r="X107" i="166"/>
  <c r="W107" i="166"/>
  <c r="V107" i="166"/>
  <c r="X106" i="166"/>
  <c r="W106" i="166"/>
  <c r="V106" i="166"/>
  <c r="X105" i="166"/>
  <c r="W105" i="166"/>
  <c r="V105" i="166"/>
  <c r="X104" i="166"/>
  <c r="W104" i="166"/>
  <c r="V104" i="166"/>
  <c r="X103" i="166"/>
  <c r="W103" i="166"/>
  <c r="V103" i="166"/>
  <c r="X102" i="166"/>
  <c r="W102" i="166"/>
  <c r="V102" i="166"/>
  <c r="X101" i="166"/>
  <c r="W101" i="166"/>
  <c r="V101" i="166"/>
  <c r="X100" i="166"/>
  <c r="W100" i="166"/>
  <c r="V100" i="166"/>
  <c r="X99" i="166"/>
  <c r="W99" i="166"/>
  <c r="V99" i="166"/>
  <c r="X98" i="166"/>
  <c r="W98" i="166"/>
  <c r="V98" i="166"/>
  <c r="X97" i="166"/>
  <c r="W97" i="166"/>
  <c r="V97" i="166"/>
  <c r="X96" i="166"/>
  <c r="W96" i="166"/>
  <c r="V96" i="166"/>
  <c r="X95" i="166"/>
  <c r="W95" i="166"/>
  <c r="V95" i="166"/>
  <c r="X94" i="166"/>
  <c r="W94" i="166"/>
  <c r="V94" i="166"/>
  <c r="X93" i="166"/>
  <c r="W93" i="166"/>
  <c r="V93" i="166"/>
  <c r="X92" i="166"/>
  <c r="W92" i="166"/>
  <c r="V92" i="166"/>
  <c r="X91" i="166"/>
  <c r="W91" i="166"/>
  <c r="V91" i="166"/>
  <c r="X90" i="166"/>
  <c r="W90" i="166"/>
  <c r="V90" i="166"/>
  <c r="X89" i="166"/>
  <c r="W89" i="166"/>
  <c r="V89" i="166"/>
  <c r="X88" i="166"/>
  <c r="W88" i="166"/>
  <c r="V88" i="166"/>
  <c r="X87" i="166"/>
  <c r="W87" i="166"/>
  <c r="V87" i="166"/>
  <c r="X86" i="166"/>
  <c r="W86" i="166"/>
  <c r="V86" i="166"/>
  <c r="X85" i="166"/>
  <c r="W85" i="166"/>
  <c r="V85" i="166"/>
  <c r="X84" i="166"/>
  <c r="W84" i="166"/>
  <c r="V84" i="166"/>
  <c r="X83" i="166"/>
  <c r="W83" i="166"/>
  <c r="V83" i="166"/>
  <c r="X82" i="166"/>
  <c r="W82" i="166"/>
  <c r="V82" i="166"/>
  <c r="X81" i="166"/>
  <c r="W81" i="166"/>
  <c r="V81" i="166"/>
  <c r="X80" i="166"/>
  <c r="W80" i="166"/>
  <c r="V80" i="166"/>
  <c r="X79" i="166"/>
  <c r="W79" i="166"/>
  <c r="V79" i="166"/>
  <c r="X78" i="166"/>
  <c r="W78" i="166"/>
  <c r="V78" i="166"/>
  <c r="X77" i="166"/>
  <c r="W77" i="166"/>
  <c r="V77" i="166"/>
  <c r="X76" i="166"/>
  <c r="W76" i="166"/>
  <c r="V76" i="166"/>
  <c r="X75" i="166"/>
  <c r="W75" i="166"/>
  <c r="V75" i="166"/>
  <c r="X74" i="166"/>
  <c r="W74" i="166"/>
  <c r="V74" i="166"/>
  <c r="X73" i="166"/>
  <c r="W73" i="166"/>
  <c r="V73" i="166"/>
  <c r="X72" i="166"/>
  <c r="W72" i="166"/>
  <c r="V72" i="166"/>
  <c r="X71" i="166"/>
  <c r="W71" i="166"/>
  <c r="V71" i="166"/>
  <c r="X70" i="166"/>
  <c r="W70" i="166"/>
  <c r="V70" i="166"/>
  <c r="X69" i="166"/>
  <c r="W69" i="166"/>
  <c r="V69" i="166"/>
  <c r="X68" i="166"/>
  <c r="W68" i="166"/>
  <c r="V68" i="166"/>
  <c r="X67" i="166"/>
  <c r="W67" i="166"/>
  <c r="V67" i="166"/>
  <c r="X66" i="166"/>
  <c r="W66" i="166"/>
  <c r="V66" i="166"/>
  <c r="X65" i="166"/>
  <c r="W65" i="166"/>
  <c r="V65" i="166"/>
  <c r="X64" i="166"/>
  <c r="W64" i="166"/>
  <c r="V64" i="166"/>
  <c r="X63" i="166"/>
  <c r="W63" i="166"/>
  <c r="V63" i="166"/>
  <c r="X62" i="166"/>
  <c r="W62" i="166"/>
  <c r="V62" i="166"/>
  <c r="X61" i="166"/>
  <c r="W61" i="166"/>
  <c r="V61" i="166"/>
  <c r="X60" i="166"/>
  <c r="W60" i="166"/>
  <c r="V60" i="166"/>
  <c r="X59" i="166"/>
  <c r="W59" i="166"/>
  <c r="V59" i="166"/>
  <c r="X58" i="166"/>
  <c r="W58" i="166"/>
  <c r="V58" i="166"/>
  <c r="X57" i="166"/>
  <c r="W57" i="166"/>
  <c r="V57" i="166"/>
  <c r="X56" i="166"/>
  <c r="W56" i="166"/>
  <c r="V56" i="166"/>
  <c r="X55" i="166"/>
  <c r="W55" i="166"/>
  <c r="V55" i="166"/>
  <c r="X54" i="166"/>
  <c r="W54" i="166"/>
  <c r="V54" i="166"/>
  <c r="X53" i="166"/>
  <c r="W53" i="166"/>
  <c r="V53" i="166"/>
  <c r="X52" i="166"/>
  <c r="W52" i="166"/>
  <c r="V52" i="166"/>
  <c r="X51" i="166"/>
  <c r="W51" i="166"/>
  <c r="V51" i="166"/>
  <c r="X50" i="166"/>
  <c r="W50" i="166"/>
  <c r="V50" i="166"/>
  <c r="X49" i="166"/>
  <c r="W49" i="166"/>
  <c r="V49" i="166"/>
  <c r="X48" i="166"/>
  <c r="W48" i="166"/>
  <c r="V48" i="166"/>
  <c r="X47" i="166"/>
  <c r="W47" i="166"/>
  <c r="V47" i="166"/>
  <c r="X46" i="166"/>
  <c r="W46" i="166"/>
  <c r="V46" i="166"/>
  <c r="X45" i="166"/>
  <c r="W45" i="166"/>
  <c r="V45" i="166"/>
  <c r="X44" i="166"/>
  <c r="W44" i="166"/>
  <c r="V44" i="166"/>
  <c r="X43" i="166"/>
  <c r="W43" i="166"/>
  <c r="V43" i="166"/>
  <c r="X42" i="166"/>
  <c r="W42" i="166"/>
  <c r="V42" i="166"/>
  <c r="X41" i="166"/>
  <c r="W41" i="166"/>
  <c r="V41" i="166"/>
  <c r="X40" i="166"/>
  <c r="W40" i="166"/>
  <c r="V40" i="166"/>
  <c r="X39" i="166"/>
  <c r="W39" i="166"/>
  <c r="V39" i="166"/>
  <c r="X38" i="166"/>
  <c r="W38" i="166"/>
  <c r="V38" i="166"/>
  <c r="X37" i="166"/>
  <c r="W37" i="166"/>
  <c r="V37" i="166"/>
  <c r="X36" i="166"/>
  <c r="W36" i="166"/>
  <c r="V36" i="166"/>
  <c r="X35" i="166"/>
  <c r="W35" i="166"/>
  <c r="V35" i="166"/>
  <c r="X34" i="166"/>
  <c r="W34" i="166"/>
  <c r="V34" i="166"/>
  <c r="X33" i="166"/>
  <c r="W33" i="166"/>
  <c r="V33" i="166"/>
  <c r="X32" i="166"/>
  <c r="W32" i="166"/>
  <c r="V32" i="166"/>
  <c r="X31" i="166"/>
  <c r="W31" i="166"/>
  <c r="V31" i="166"/>
  <c r="X30" i="166"/>
  <c r="W30" i="166"/>
  <c r="V30" i="166"/>
  <c r="X29" i="166"/>
  <c r="W29" i="166"/>
  <c r="V29" i="166"/>
  <c r="X28" i="166"/>
  <c r="W28" i="166"/>
  <c r="V28" i="166"/>
  <c r="I25" i="166"/>
  <c r="B10" i="166"/>
  <c r="H25" i="166" s="1"/>
  <c r="F9" i="166"/>
  <c r="E9" i="166"/>
  <c r="D9" i="166"/>
  <c r="E8" i="166"/>
  <c r="D8" i="166"/>
  <c r="E7" i="166"/>
  <c r="D7" i="166"/>
  <c r="B7" i="166"/>
  <c r="H133" i="166" s="1"/>
  <c r="E6" i="166"/>
  <c r="D6" i="166"/>
  <c r="E5" i="166"/>
  <c r="D5" i="166"/>
  <c r="E4" i="166"/>
  <c r="D4" i="166"/>
  <c r="B4" i="166"/>
  <c r="E3" i="166"/>
  <c r="D3" i="166"/>
  <c r="B1" i="166"/>
  <c r="C25" i="166" s="1"/>
  <c r="Q25" i="166" s="1"/>
  <c r="X147" i="167"/>
  <c r="W147" i="167"/>
  <c r="V147" i="167"/>
  <c r="X146" i="167"/>
  <c r="W146" i="167"/>
  <c r="V146" i="167"/>
  <c r="X145" i="167"/>
  <c r="W145" i="167"/>
  <c r="V145" i="167"/>
  <c r="X144" i="167"/>
  <c r="W144" i="167"/>
  <c r="V144" i="167"/>
  <c r="X143" i="167"/>
  <c r="W143" i="167"/>
  <c r="V143" i="167"/>
  <c r="X142" i="167"/>
  <c r="W142" i="167"/>
  <c r="V142" i="167"/>
  <c r="X141" i="167"/>
  <c r="W141" i="167"/>
  <c r="V141" i="167"/>
  <c r="X140" i="167"/>
  <c r="W140" i="167"/>
  <c r="V140" i="167"/>
  <c r="X139" i="167"/>
  <c r="W139" i="167"/>
  <c r="V139" i="167"/>
  <c r="X138" i="167"/>
  <c r="W138" i="167"/>
  <c r="V138" i="167"/>
  <c r="X137" i="167"/>
  <c r="W137" i="167"/>
  <c r="V137" i="167"/>
  <c r="X136" i="167"/>
  <c r="W136" i="167"/>
  <c r="V136" i="167"/>
  <c r="X135" i="167"/>
  <c r="W135" i="167"/>
  <c r="V135" i="167"/>
  <c r="X134" i="167"/>
  <c r="W134" i="167"/>
  <c r="V134" i="167"/>
  <c r="X133" i="167"/>
  <c r="W133" i="167"/>
  <c r="V133" i="167"/>
  <c r="X132" i="167"/>
  <c r="W132" i="167"/>
  <c r="V132" i="167"/>
  <c r="X131" i="167"/>
  <c r="W131" i="167"/>
  <c r="V131" i="167"/>
  <c r="X130" i="167"/>
  <c r="W130" i="167"/>
  <c r="V130" i="167"/>
  <c r="X129" i="167"/>
  <c r="W129" i="167"/>
  <c r="V129" i="167"/>
  <c r="X128" i="167"/>
  <c r="W128" i="167"/>
  <c r="V128" i="167"/>
  <c r="X127" i="167"/>
  <c r="W127" i="167"/>
  <c r="V127" i="167"/>
  <c r="X126" i="167"/>
  <c r="W126" i="167"/>
  <c r="V126" i="167"/>
  <c r="X125" i="167"/>
  <c r="W125" i="167"/>
  <c r="V125" i="167"/>
  <c r="X124" i="167"/>
  <c r="W124" i="167"/>
  <c r="V124" i="167"/>
  <c r="X123" i="167"/>
  <c r="W123" i="167"/>
  <c r="V123" i="167"/>
  <c r="X122" i="167"/>
  <c r="W122" i="167"/>
  <c r="V122" i="167"/>
  <c r="X121" i="167"/>
  <c r="W121" i="167"/>
  <c r="V121" i="167"/>
  <c r="X120" i="167"/>
  <c r="W120" i="167"/>
  <c r="V120" i="167"/>
  <c r="X119" i="167"/>
  <c r="W119" i="167"/>
  <c r="V119" i="167"/>
  <c r="X118" i="167"/>
  <c r="W118" i="167"/>
  <c r="V118" i="167"/>
  <c r="X117" i="167"/>
  <c r="W117" i="167"/>
  <c r="V117" i="167"/>
  <c r="X116" i="167"/>
  <c r="W116" i="167"/>
  <c r="V116" i="167"/>
  <c r="X115" i="167"/>
  <c r="W115" i="167"/>
  <c r="V115" i="167"/>
  <c r="X114" i="167"/>
  <c r="W114" i="167"/>
  <c r="V114" i="167"/>
  <c r="X113" i="167"/>
  <c r="W113" i="167"/>
  <c r="V113" i="167"/>
  <c r="X112" i="167"/>
  <c r="W112" i="167"/>
  <c r="V112" i="167"/>
  <c r="X111" i="167"/>
  <c r="W111" i="167"/>
  <c r="V111" i="167"/>
  <c r="X110" i="167"/>
  <c r="W110" i="167"/>
  <c r="V110" i="167"/>
  <c r="X109" i="167"/>
  <c r="W109" i="167"/>
  <c r="V109" i="167"/>
  <c r="X108" i="167"/>
  <c r="W108" i="167"/>
  <c r="V108" i="167"/>
  <c r="X107" i="167"/>
  <c r="W107" i="167"/>
  <c r="V107" i="167"/>
  <c r="X106" i="167"/>
  <c r="W106" i="167"/>
  <c r="V106" i="167"/>
  <c r="X105" i="167"/>
  <c r="W105" i="167"/>
  <c r="V105" i="167"/>
  <c r="X104" i="167"/>
  <c r="W104" i="167"/>
  <c r="V104" i="167"/>
  <c r="X103" i="167"/>
  <c r="W103" i="167"/>
  <c r="V103" i="167"/>
  <c r="X102" i="167"/>
  <c r="W102" i="167"/>
  <c r="V102" i="167"/>
  <c r="X101" i="167"/>
  <c r="W101" i="167"/>
  <c r="V101" i="167"/>
  <c r="X100" i="167"/>
  <c r="W100" i="167"/>
  <c r="V100" i="167"/>
  <c r="X99" i="167"/>
  <c r="W99" i="167"/>
  <c r="V99" i="167"/>
  <c r="X98" i="167"/>
  <c r="W98" i="167"/>
  <c r="V98" i="167"/>
  <c r="X97" i="167"/>
  <c r="W97" i="167"/>
  <c r="V97" i="167"/>
  <c r="X96" i="167"/>
  <c r="W96" i="167"/>
  <c r="V96" i="167"/>
  <c r="X95" i="167"/>
  <c r="W95" i="167"/>
  <c r="V95" i="167"/>
  <c r="X94" i="167"/>
  <c r="W94" i="167"/>
  <c r="V94" i="167"/>
  <c r="X93" i="167"/>
  <c r="W93" i="167"/>
  <c r="V93" i="167"/>
  <c r="X92" i="167"/>
  <c r="W92" i="167"/>
  <c r="V92" i="167"/>
  <c r="X91" i="167"/>
  <c r="W91" i="167"/>
  <c r="V91" i="167"/>
  <c r="X90" i="167"/>
  <c r="W90" i="167"/>
  <c r="V90" i="167"/>
  <c r="X89" i="167"/>
  <c r="W89" i="167"/>
  <c r="V89" i="167"/>
  <c r="X88" i="167"/>
  <c r="W88" i="167"/>
  <c r="V88" i="167"/>
  <c r="X87" i="167"/>
  <c r="W87" i="167"/>
  <c r="V87" i="167"/>
  <c r="X86" i="167"/>
  <c r="W86" i="167"/>
  <c r="V86" i="167"/>
  <c r="X85" i="167"/>
  <c r="W85" i="167"/>
  <c r="V85" i="167"/>
  <c r="X84" i="167"/>
  <c r="W84" i="167"/>
  <c r="V84" i="167"/>
  <c r="X83" i="167"/>
  <c r="W83" i="167"/>
  <c r="V83" i="167"/>
  <c r="X82" i="167"/>
  <c r="W82" i="167"/>
  <c r="V82" i="167"/>
  <c r="X81" i="167"/>
  <c r="W81" i="167"/>
  <c r="V81" i="167"/>
  <c r="X80" i="167"/>
  <c r="W80" i="167"/>
  <c r="V80" i="167"/>
  <c r="X79" i="167"/>
  <c r="W79" i="167"/>
  <c r="V79" i="167"/>
  <c r="X78" i="167"/>
  <c r="W78" i="167"/>
  <c r="V78" i="167"/>
  <c r="X77" i="167"/>
  <c r="W77" i="167"/>
  <c r="V77" i="167"/>
  <c r="X76" i="167"/>
  <c r="W76" i="167"/>
  <c r="V76" i="167"/>
  <c r="X75" i="167"/>
  <c r="W75" i="167"/>
  <c r="V75" i="167"/>
  <c r="X74" i="167"/>
  <c r="W74" i="167"/>
  <c r="V74" i="167"/>
  <c r="X73" i="167"/>
  <c r="W73" i="167"/>
  <c r="V73" i="167"/>
  <c r="X72" i="167"/>
  <c r="W72" i="167"/>
  <c r="V72" i="167"/>
  <c r="X71" i="167"/>
  <c r="W71" i="167"/>
  <c r="V71" i="167"/>
  <c r="X70" i="167"/>
  <c r="W70" i="167"/>
  <c r="V70" i="167"/>
  <c r="X69" i="167"/>
  <c r="W69" i="167"/>
  <c r="V69" i="167"/>
  <c r="X68" i="167"/>
  <c r="W68" i="167"/>
  <c r="V68" i="167"/>
  <c r="X67" i="167"/>
  <c r="W67" i="167"/>
  <c r="V67" i="167"/>
  <c r="X66" i="167"/>
  <c r="W66" i="167"/>
  <c r="V66" i="167"/>
  <c r="X65" i="167"/>
  <c r="W65" i="167"/>
  <c r="V65" i="167"/>
  <c r="X64" i="167"/>
  <c r="W64" i="167"/>
  <c r="V64" i="167"/>
  <c r="X63" i="167"/>
  <c r="W63" i="167"/>
  <c r="V63" i="167"/>
  <c r="X62" i="167"/>
  <c r="W62" i="167"/>
  <c r="V62" i="167"/>
  <c r="X61" i="167"/>
  <c r="W61" i="167"/>
  <c r="V61" i="167"/>
  <c r="X60" i="167"/>
  <c r="W60" i="167"/>
  <c r="V60" i="167"/>
  <c r="X59" i="167"/>
  <c r="W59" i="167"/>
  <c r="V59" i="167"/>
  <c r="X58" i="167"/>
  <c r="W58" i="167"/>
  <c r="V58" i="167"/>
  <c r="X57" i="167"/>
  <c r="W57" i="167"/>
  <c r="V57" i="167"/>
  <c r="X56" i="167"/>
  <c r="W56" i="167"/>
  <c r="V56" i="167"/>
  <c r="X55" i="167"/>
  <c r="W55" i="167"/>
  <c r="V55" i="167"/>
  <c r="X54" i="167"/>
  <c r="W54" i="167"/>
  <c r="V54" i="167"/>
  <c r="X53" i="167"/>
  <c r="W53" i="167"/>
  <c r="V53" i="167"/>
  <c r="X52" i="167"/>
  <c r="W52" i="167"/>
  <c r="V52" i="167"/>
  <c r="X51" i="167"/>
  <c r="W51" i="167"/>
  <c r="V51" i="167"/>
  <c r="X50" i="167"/>
  <c r="W50" i="167"/>
  <c r="V50" i="167"/>
  <c r="X49" i="167"/>
  <c r="W49" i="167"/>
  <c r="V49" i="167"/>
  <c r="X48" i="167"/>
  <c r="W48" i="167"/>
  <c r="V48" i="167"/>
  <c r="X47" i="167"/>
  <c r="W47" i="167"/>
  <c r="V47" i="167"/>
  <c r="X46" i="167"/>
  <c r="W46" i="167"/>
  <c r="V46" i="167"/>
  <c r="X45" i="167"/>
  <c r="W45" i="167"/>
  <c r="V45" i="167"/>
  <c r="X44" i="167"/>
  <c r="W44" i="167"/>
  <c r="V44" i="167"/>
  <c r="X43" i="167"/>
  <c r="W43" i="167"/>
  <c r="V43" i="167"/>
  <c r="X42" i="167"/>
  <c r="W42" i="167"/>
  <c r="V42" i="167"/>
  <c r="X41" i="167"/>
  <c r="W41" i="167"/>
  <c r="V41" i="167"/>
  <c r="X40" i="167"/>
  <c r="W40" i="167"/>
  <c r="V40" i="167"/>
  <c r="X39" i="167"/>
  <c r="W39" i="167"/>
  <c r="V39" i="167"/>
  <c r="X38" i="167"/>
  <c r="W38" i="167"/>
  <c r="V38" i="167"/>
  <c r="X37" i="167"/>
  <c r="W37" i="167"/>
  <c r="V37" i="167"/>
  <c r="X36" i="167"/>
  <c r="W36" i="167"/>
  <c r="V36" i="167"/>
  <c r="X35" i="167"/>
  <c r="W35" i="167"/>
  <c r="V35" i="167"/>
  <c r="X34" i="167"/>
  <c r="W34" i="167"/>
  <c r="V34" i="167"/>
  <c r="X33" i="167"/>
  <c r="W33" i="167"/>
  <c r="V33" i="167"/>
  <c r="B4" i="167"/>
  <c r="X32" i="167"/>
  <c r="W32" i="167"/>
  <c r="V32" i="167"/>
  <c r="X31" i="167"/>
  <c r="W31" i="167"/>
  <c r="V31" i="167"/>
  <c r="X30" i="167"/>
  <c r="W30" i="167"/>
  <c r="V30" i="167"/>
  <c r="X29" i="167"/>
  <c r="W29" i="167"/>
  <c r="V29" i="167"/>
  <c r="X28" i="167"/>
  <c r="W28" i="167"/>
  <c r="V28" i="167"/>
  <c r="I25" i="167"/>
  <c r="B12" i="167"/>
  <c r="B10" i="167"/>
  <c r="H25" i="167" s="1"/>
  <c r="F9" i="167"/>
  <c r="E9" i="167"/>
  <c r="D9" i="167"/>
  <c r="E8" i="167"/>
  <c r="D8" i="167"/>
  <c r="E7" i="167"/>
  <c r="D7" i="167"/>
  <c r="B7" i="167"/>
  <c r="E6" i="167"/>
  <c r="D6" i="167"/>
  <c r="E5" i="167"/>
  <c r="D5" i="167"/>
  <c r="E4" i="167"/>
  <c r="D4" i="167"/>
  <c r="E3" i="167"/>
  <c r="D3" i="167"/>
  <c r="B1" i="167"/>
  <c r="C25" i="167" s="1"/>
  <c r="Q25" i="167" s="1"/>
  <c r="E9" i="162"/>
  <c r="E8" i="162"/>
  <c r="E7" i="162"/>
  <c r="C3" i="162"/>
  <c r="C49" i="162"/>
  <c r="E9" i="165"/>
  <c r="D9" i="165"/>
  <c r="E8" i="165"/>
  <c r="D8" i="165"/>
  <c r="E7" i="165"/>
  <c r="D7" i="165"/>
  <c r="E6" i="165"/>
  <c r="D6" i="165"/>
  <c r="E5" i="165"/>
  <c r="D5" i="165"/>
  <c r="E4" i="165"/>
  <c r="D4" i="165"/>
  <c r="E3" i="165"/>
  <c r="D3" i="165"/>
  <c r="N54" i="6"/>
  <c r="N52" i="6"/>
  <c r="N50" i="6"/>
  <c r="N48" i="6"/>
  <c r="N46" i="6"/>
  <c r="C43" i="162"/>
  <c r="N56" i="162"/>
  <c r="B12" i="165"/>
  <c r="B10" i="165"/>
  <c r="H25" i="165" s="1"/>
  <c r="B7" i="165"/>
  <c r="H134" i="165" s="1"/>
  <c r="B4" i="165"/>
  <c r="B1" i="165"/>
  <c r="C25" i="165" s="1"/>
  <c r="C27" i="165" s="1"/>
  <c r="X147" i="165"/>
  <c r="W147" i="165"/>
  <c r="V147" i="165"/>
  <c r="X146" i="165"/>
  <c r="W146" i="165"/>
  <c r="V146" i="165"/>
  <c r="X145" i="165"/>
  <c r="W145" i="165"/>
  <c r="V145" i="165"/>
  <c r="X144" i="165"/>
  <c r="W144" i="165"/>
  <c r="V144" i="165"/>
  <c r="X143" i="165"/>
  <c r="W143" i="165"/>
  <c r="V143" i="165"/>
  <c r="X142" i="165"/>
  <c r="W142" i="165"/>
  <c r="V142" i="165"/>
  <c r="X141" i="165"/>
  <c r="W141" i="165"/>
  <c r="V141" i="165"/>
  <c r="X140" i="165"/>
  <c r="W140" i="165"/>
  <c r="V140" i="165"/>
  <c r="X139" i="165"/>
  <c r="W139" i="165"/>
  <c r="V139" i="165"/>
  <c r="X138" i="165"/>
  <c r="W138" i="165"/>
  <c r="V138" i="165"/>
  <c r="X137" i="165"/>
  <c r="W137" i="165"/>
  <c r="V137" i="165"/>
  <c r="X136" i="165"/>
  <c r="W136" i="165"/>
  <c r="V136" i="165"/>
  <c r="X135" i="165"/>
  <c r="W135" i="165"/>
  <c r="V135" i="165"/>
  <c r="X134" i="165"/>
  <c r="W134" i="165"/>
  <c r="V134" i="165"/>
  <c r="X133" i="165"/>
  <c r="W133" i="165"/>
  <c r="V133" i="165"/>
  <c r="X132" i="165"/>
  <c r="W132" i="165"/>
  <c r="V132" i="165"/>
  <c r="X131" i="165"/>
  <c r="W131" i="165"/>
  <c r="V131" i="165"/>
  <c r="X130" i="165"/>
  <c r="W130" i="165"/>
  <c r="V130" i="165"/>
  <c r="X129" i="165"/>
  <c r="W129" i="165"/>
  <c r="V129" i="165"/>
  <c r="X128" i="165"/>
  <c r="W128" i="165"/>
  <c r="V128" i="165"/>
  <c r="X127" i="165"/>
  <c r="W127" i="165"/>
  <c r="V127" i="165"/>
  <c r="X126" i="165"/>
  <c r="W126" i="165"/>
  <c r="V126" i="165"/>
  <c r="X125" i="165"/>
  <c r="W125" i="165"/>
  <c r="V125" i="165"/>
  <c r="X124" i="165"/>
  <c r="W124" i="165"/>
  <c r="V124" i="165"/>
  <c r="X123" i="165"/>
  <c r="W123" i="165"/>
  <c r="V123" i="165"/>
  <c r="X122" i="165"/>
  <c r="W122" i="165"/>
  <c r="V122" i="165"/>
  <c r="X121" i="165"/>
  <c r="W121" i="165"/>
  <c r="V121" i="165"/>
  <c r="X120" i="165"/>
  <c r="W120" i="165"/>
  <c r="V120" i="165"/>
  <c r="X119" i="165"/>
  <c r="W119" i="165"/>
  <c r="V119" i="165"/>
  <c r="X118" i="165"/>
  <c r="W118" i="165"/>
  <c r="V118" i="165"/>
  <c r="X117" i="165"/>
  <c r="W117" i="165"/>
  <c r="V117" i="165"/>
  <c r="X116" i="165"/>
  <c r="W116" i="165"/>
  <c r="V116" i="165"/>
  <c r="X115" i="165"/>
  <c r="W115" i="165"/>
  <c r="V115" i="165"/>
  <c r="X114" i="165"/>
  <c r="W114" i="165"/>
  <c r="V114" i="165"/>
  <c r="X113" i="165"/>
  <c r="W113" i="165"/>
  <c r="V113" i="165"/>
  <c r="X112" i="165"/>
  <c r="W112" i="165"/>
  <c r="V112" i="165"/>
  <c r="X111" i="165"/>
  <c r="W111" i="165"/>
  <c r="V111" i="165"/>
  <c r="X110" i="165"/>
  <c r="W110" i="165"/>
  <c r="V110" i="165"/>
  <c r="X109" i="165"/>
  <c r="W109" i="165"/>
  <c r="V109" i="165"/>
  <c r="X108" i="165"/>
  <c r="W108" i="165"/>
  <c r="V108" i="165"/>
  <c r="X107" i="165"/>
  <c r="W107" i="165"/>
  <c r="V107" i="165"/>
  <c r="X106" i="165"/>
  <c r="W106" i="165"/>
  <c r="V106" i="165"/>
  <c r="X105" i="165"/>
  <c r="W105" i="165"/>
  <c r="V105" i="165"/>
  <c r="X104" i="165"/>
  <c r="W104" i="165"/>
  <c r="V104" i="165"/>
  <c r="X103" i="165"/>
  <c r="W103" i="165"/>
  <c r="V103" i="165"/>
  <c r="X102" i="165"/>
  <c r="W102" i="165"/>
  <c r="V102" i="165"/>
  <c r="X101" i="165"/>
  <c r="W101" i="165"/>
  <c r="V101" i="165"/>
  <c r="X100" i="165"/>
  <c r="W100" i="165"/>
  <c r="V100" i="165"/>
  <c r="X99" i="165"/>
  <c r="W99" i="165"/>
  <c r="V99" i="165"/>
  <c r="X98" i="165"/>
  <c r="W98" i="165"/>
  <c r="V98" i="165"/>
  <c r="X97" i="165"/>
  <c r="W97" i="165"/>
  <c r="V97" i="165"/>
  <c r="X96" i="165"/>
  <c r="W96" i="165"/>
  <c r="V96" i="165"/>
  <c r="X95" i="165"/>
  <c r="W95" i="165"/>
  <c r="V95" i="165"/>
  <c r="X94" i="165"/>
  <c r="W94" i="165"/>
  <c r="V94" i="165"/>
  <c r="X93" i="165"/>
  <c r="W93" i="165"/>
  <c r="V93" i="165"/>
  <c r="X92" i="165"/>
  <c r="W92" i="165"/>
  <c r="V92" i="165"/>
  <c r="X91" i="165"/>
  <c r="W91" i="165"/>
  <c r="V91" i="165"/>
  <c r="X90" i="165"/>
  <c r="W90" i="165"/>
  <c r="V90" i="165"/>
  <c r="X89" i="165"/>
  <c r="W89" i="165"/>
  <c r="V89" i="165"/>
  <c r="X88" i="165"/>
  <c r="W88" i="165"/>
  <c r="V88" i="165"/>
  <c r="X87" i="165"/>
  <c r="W87" i="165"/>
  <c r="V87" i="165"/>
  <c r="X86" i="165"/>
  <c r="W86" i="165"/>
  <c r="V86" i="165"/>
  <c r="X85" i="165"/>
  <c r="W85" i="165"/>
  <c r="V85" i="165"/>
  <c r="X84" i="165"/>
  <c r="W84" i="165"/>
  <c r="V84" i="165"/>
  <c r="X83" i="165"/>
  <c r="W83" i="165"/>
  <c r="V83" i="165"/>
  <c r="X82" i="165"/>
  <c r="W82" i="165"/>
  <c r="V82" i="165"/>
  <c r="X81" i="165"/>
  <c r="W81" i="165"/>
  <c r="V81" i="165"/>
  <c r="X80" i="165"/>
  <c r="W80" i="165"/>
  <c r="V80" i="165"/>
  <c r="X79" i="165"/>
  <c r="W79" i="165"/>
  <c r="V79" i="165"/>
  <c r="X78" i="165"/>
  <c r="W78" i="165"/>
  <c r="V78" i="165"/>
  <c r="X77" i="165"/>
  <c r="W77" i="165"/>
  <c r="V77" i="165"/>
  <c r="X76" i="165"/>
  <c r="W76" i="165"/>
  <c r="V76" i="165"/>
  <c r="X75" i="165"/>
  <c r="W75" i="165"/>
  <c r="V75" i="165"/>
  <c r="X74" i="165"/>
  <c r="W74" i="165"/>
  <c r="V74" i="165"/>
  <c r="X73" i="165"/>
  <c r="W73" i="165"/>
  <c r="V73" i="165"/>
  <c r="X72" i="165"/>
  <c r="W72" i="165"/>
  <c r="V72" i="165"/>
  <c r="X71" i="165"/>
  <c r="W71" i="165"/>
  <c r="V71" i="165"/>
  <c r="X70" i="165"/>
  <c r="W70" i="165"/>
  <c r="V70" i="165"/>
  <c r="X69" i="165"/>
  <c r="W69" i="165"/>
  <c r="V69" i="165"/>
  <c r="X68" i="165"/>
  <c r="W68" i="165"/>
  <c r="V68" i="165"/>
  <c r="X67" i="165"/>
  <c r="W67" i="165"/>
  <c r="V67" i="165"/>
  <c r="X66" i="165"/>
  <c r="W66" i="165"/>
  <c r="V66" i="165"/>
  <c r="X65" i="165"/>
  <c r="W65" i="165"/>
  <c r="V65" i="165"/>
  <c r="X64" i="165"/>
  <c r="W64" i="165"/>
  <c r="V64" i="165"/>
  <c r="X63" i="165"/>
  <c r="W63" i="165"/>
  <c r="V63" i="165"/>
  <c r="X62" i="165"/>
  <c r="W62" i="165"/>
  <c r="V62" i="165"/>
  <c r="X61" i="165"/>
  <c r="W61" i="165"/>
  <c r="V61" i="165"/>
  <c r="X60" i="165"/>
  <c r="W60" i="165"/>
  <c r="V60" i="165"/>
  <c r="X59" i="165"/>
  <c r="W59" i="165"/>
  <c r="V59" i="165"/>
  <c r="X58" i="165"/>
  <c r="W58" i="165"/>
  <c r="V58" i="165"/>
  <c r="X57" i="165"/>
  <c r="W57" i="165"/>
  <c r="V57" i="165"/>
  <c r="X56" i="165"/>
  <c r="W56" i="165"/>
  <c r="V56" i="165"/>
  <c r="X55" i="165"/>
  <c r="W55" i="165"/>
  <c r="V55" i="165"/>
  <c r="X54" i="165"/>
  <c r="W54" i="165"/>
  <c r="V54" i="165"/>
  <c r="X53" i="165"/>
  <c r="W53" i="165"/>
  <c r="V53" i="165"/>
  <c r="X52" i="165"/>
  <c r="W52" i="165"/>
  <c r="V52" i="165"/>
  <c r="X51" i="165"/>
  <c r="W51" i="165"/>
  <c r="V51" i="165"/>
  <c r="X50" i="165"/>
  <c r="W50" i="165"/>
  <c r="V50" i="165"/>
  <c r="X49" i="165"/>
  <c r="W49" i="165"/>
  <c r="V49" i="165"/>
  <c r="X48" i="165"/>
  <c r="W48" i="165"/>
  <c r="V48" i="165"/>
  <c r="X47" i="165"/>
  <c r="W47" i="165"/>
  <c r="V47" i="165"/>
  <c r="X46" i="165"/>
  <c r="W46" i="165"/>
  <c r="V46" i="165"/>
  <c r="X45" i="165"/>
  <c r="W45" i="165"/>
  <c r="V45" i="165"/>
  <c r="X44" i="165"/>
  <c r="W44" i="165"/>
  <c r="V44" i="165"/>
  <c r="X43" i="165"/>
  <c r="W43" i="165"/>
  <c r="V43" i="165"/>
  <c r="X42" i="165"/>
  <c r="W42" i="165"/>
  <c r="V42" i="165"/>
  <c r="X41" i="165"/>
  <c r="W41" i="165"/>
  <c r="V41" i="165"/>
  <c r="X40" i="165"/>
  <c r="W40" i="165"/>
  <c r="V40" i="165"/>
  <c r="X39" i="165"/>
  <c r="W39" i="165"/>
  <c r="V39" i="165"/>
  <c r="X38" i="165"/>
  <c r="W38" i="165"/>
  <c r="V38" i="165"/>
  <c r="X37" i="165"/>
  <c r="W37" i="165"/>
  <c r="V37" i="165"/>
  <c r="X36" i="165"/>
  <c r="W36" i="165"/>
  <c r="V36" i="165"/>
  <c r="X35" i="165"/>
  <c r="W35" i="165"/>
  <c r="V35" i="165"/>
  <c r="X34" i="165"/>
  <c r="W34" i="165"/>
  <c r="V34" i="165"/>
  <c r="X33" i="165"/>
  <c r="W33" i="165"/>
  <c r="V33" i="165"/>
  <c r="X32" i="165"/>
  <c r="W32" i="165"/>
  <c r="V32" i="165"/>
  <c r="X31" i="165"/>
  <c r="W31" i="165"/>
  <c r="V31" i="165"/>
  <c r="X30" i="165"/>
  <c r="W30" i="165"/>
  <c r="V30" i="165"/>
  <c r="X29" i="165"/>
  <c r="W29" i="165"/>
  <c r="V29" i="165"/>
  <c r="X28" i="165"/>
  <c r="W28" i="165"/>
  <c r="V28" i="165"/>
  <c r="I25" i="165"/>
  <c r="E88" i="6"/>
  <c r="K54" i="6"/>
  <c r="K52" i="6"/>
  <c r="K50" i="6"/>
  <c r="K48" i="6"/>
  <c r="K46" i="6"/>
  <c r="AG25" i="162"/>
  <c r="AG24" i="162"/>
  <c r="AG23" i="162"/>
  <c r="E33" i="162"/>
  <c r="E41" i="162" s="1"/>
  <c r="E16" i="162"/>
  <c r="C22" i="162"/>
  <c r="C23" i="162"/>
  <c r="C24" i="162"/>
  <c r="C25" i="162"/>
  <c r="Q33" i="162"/>
  <c r="Q41" i="162" s="1"/>
  <c r="W41" i="162" s="1"/>
  <c r="V149" i="6"/>
  <c r="L3" i="6" s="1"/>
  <c r="C55" i="162"/>
  <c r="H142" i="165"/>
  <c r="AC38" i="162"/>
  <c r="AC36" i="162"/>
  <c r="AC35" i="162"/>
  <c r="AC37" i="162"/>
  <c r="H112" i="165"/>
  <c r="W39" i="162"/>
  <c r="H84" i="167"/>
  <c r="H41" i="167"/>
  <c r="H36" i="165"/>
  <c r="H95" i="165"/>
  <c r="H123" i="165"/>
  <c r="H113" i="165"/>
  <c r="H99" i="165"/>
  <c r="H143" i="165"/>
  <c r="H86" i="165"/>
  <c r="H135" i="165"/>
  <c r="H132" i="165"/>
  <c r="H91" i="165"/>
  <c r="H59" i="165"/>
  <c r="H50" i="165"/>
  <c r="H62" i="165"/>
  <c r="H70" i="165"/>
  <c r="H121" i="165"/>
  <c r="H69" i="165"/>
  <c r="H107" i="165"/>
  <c r="H83" i="165"/>
  <c r="H82" i="165"/>
  <c r="H32" i="165"/>
  <c r="H65" i="165"/>
  <c r="H139" i="165"/>
  <c r="H71" i="165"/>
  <c r="H105" i="165"/>
  <c r="H116" i="165"/>
  <c r="H38" i="165"/>
  <c r="H46" i="165"/>
  <c r="H119" i="167"/>
  <c r="H31" i="165"/>
  <c r="H67" i="165"/>
  <c r="Y29" i="166"/>
  <c r="Y30" i="166"/>
  <c r="Y33" i="166"/>
  <c r="Y34" i="166"/>
  <c r="Y37" i="166"/>
  <c r="Y38" i="166"/>
  <c r="Y41" i="166"/>
  <c r="Y42" i="166"/>
  <c r="Y45" i="166"/>
  <c r="Y46" i="166"/>
  <c r="Y49" i="166"/>
  <c r="Y50" i="166"/>
  <c r="Y53" i="166"/>
  <c r="Y54" i="166"/>
  <c r="Y57" i="166"/>
  <c r="Y58" i="166"/>
  <c r="Y61" i="166"/>
  <c r="Y62" i="166"/>
  <c r="Y65" i="166"/>
  <c r="Y66" i="166"/>
  <c r="Y69" i="166"/>
  <c r="Y70" i="166"/>
  <c r="Y73" i="166"/>
  <c r="Y74" i="166"/>
  <c r="Y77" i="166"/>
  <c r="Y78" i="166"/>
  <c r="Y81" i="166"/>
  <c r="Y82" i="166"/>
  <c r="Y85" i="166"/>
  <c r="Y86" i="166"/>
  <c r="Y89" i="166"/>
  <c r="Y90" i="166"/>
  <c r="Y93" i="166"/>
  <c r="Y94" i="166"/>
  <c r="Y97" i="166"/>
  <c r="Y98" i="166"/>
  <c r="Y101" i="166"/>
  <c r="Y102" i="166"/>
  <c r="Y105" i="166"/>
  <c r="Y106" i="166"/>
  <c r="Y109" i="166"/>
  <c r="Y110" i="166"/>
  <c r="Y113" i="166"/>
  <c r="Y114" i="166"/>
  <c r="Y117" i="166"/>
  <c r="Y118" i="166"/>
  <c r="Y121" i="166"/>
  <c r="Y122" i="166"/>
  <c r="Y125" i="166"/>
  <c r="Y126" i="166"/>
  <c r="Y129" i="166"/>
  <c r="Y130" i="166"/>
  <c r="D130" i="166" s="1"/>
  <c r="Y132" i="166"/>
  <c r="Y133" i="166"/>
  <c r="Y135" i="166"/>
  <c r="Y136" i="166"/>
  <c r="Y139" i="166"/>
  <c r="Y140" i="166"/>
  <c r="Y143" i="166"/>
  <c r="Y144" i="166"/>
  <c r="H77" i="166"/>
  <c r="H137" i="166"/>
  <c r="H115" i="167"/>
  <c r="H91" i="167"/>
  <c r="H132" i="167"/>
  <c r="H86" i="167"/>
  <c r="H31" i="167"/>
  <c r="H85" i="167"/>
  <c r="H51" i="167"/>
  <c r="H89" i="167"/>
  <c r="H92" i="167"/>
  <c r="H101" i="167"/>
  <c r="H66" i="167"/>
  <c r="H96" i="167"/>
  <c r="H48" i="167"/>
  <c r="H138" i="167"/>
  <c r="H117" i="167"/>
  <c r="H53" i="167"/>
  <c r="H82" i="167"/>
  <c r="H131" i="167"/>
  <c r="H45" i="167"/>
  <c r="H79" i="167"/>
  <c r="H63" i="167"/>
  <c r="H33" i="167"/>
  <c r="C54" i="162"/>
  <c r="N58" i="162"/>
  <c r="N59" i="162"/>
  <c r="N60" i="162"/>
  <c r="N61" i="162"/>
  <c r="E10" i="162"/>
  <c r="H134" i="167"/>
  <c r="H88" i="167"/>
  <c r="H110" i="167"/>
  <c r="H74" i="167"/>
  <c r="H87" i="167"/>
  <c r="H54" i="167"/>
  <c r="Y147" i="165"/>
  <c r="Y146" i="165"/>
  <c r="Y145" i="165"/>
  <c r="Y144" i="165"/>
  <c r="Y143" i="165"/>
  <c r="Y142" i="165"/>
  <c r="Y141" i="165"/>
  <c r="Y140" i="165"/>
  <c r="Y139" i="165"/>
  <c r="Y138" i="165"/>
  <c r="Y137" i="165"/>
  <c r="Y136" i="165"/>
  <c r="Y135" i="165"/>
  <c r="Y134" i="165"/>
  <c r="Y133" i="165"/>
  <c r="Y132" i="165"/>
  <c r="Y131" i="165"/>
  <c r="Y130" i="165"/>
  <c r="Y129" i="165"/>
  <c r="Y128" i="165"/>
  <c r="Y127" i="165"/>
  <c r="Y126" i="165"/>
  <c r="Y125" i="165"/>
  <c r="Y124" i="165"/>
  <c r="Y123" i="165"/>
  <c r="Y122" i="165"/>
  <c r="Y121" i="165"/>
  <c r="Y120" i="165"/>
  <c r="Y119" i="165"/>
  <c r="Y118" i="165"/>
  <c r="Y117" i="165"/>
  <c r="Y116" i="165"/>
  <c r="Y115" i="165"/>
  <c r="Y114" i="165"/>
  <c r="Y113" i="165"/>
  <c r="Y112" i="165"/>
  <c r="Y111" i="165"/>
  <c r="Y110" i="165"/>
  <c r="Y109" i="165"/>
  <c r="Y108" i="165"/>
  <c r="Y107" i="165"/>
  <c r="Y106" i="165"/>
  <c r="Y105" i="165"/>
  <c r="Y104" i="165"/>
  <c r="Y103" i="165"/>
  <c r="Y102" i="165"/>
  <c r="Y101" i="165"/>
  <c r="Y100" i="165"/>
  <c r="Y99" i="165"/>
  <c r="Y98" i="165"/>
  <c r="Y97" i="165"/>
  <c r="Y96" i="165"/>
  <c r="Y95" i="165"/>
  <c r="Y94" i="165"/>
  <c r="Y93" i="165"/>
  <c r="Y92" i="165"/>
  <c r="Y91" i="165"/>
  <c r="Y90" i="165"/>
  <c r="Y89" i="165"/>
  <c r="Y88" i="165"/>
  <c r="Y87" i="165"/>
  <c r="Y86" i="165"/>
  <c r="Y85" i="165"/>
  <c r="Y84" i="165"/>
  <c r="Y83" i="165"/>
  <c r="Y82" i="165"/>
  <c r="Y81" i="165"/>
  <c r="Y80" i="165"/>
  <c r="Y79" i="165"/>
  <c r="Y78" i="165"/>
  <c r="Y77" i="165"/>
  <c r="Y76" i="165"/>
  <c r="Y75" i="165"/>
  <c r="Y74" i="165"/>
  <c r="Y73" i="165"/>
  <c r="Y72" i="165"/>
  <c r="Y71" i="165"/>
  <c r="Y70" i="165"/>
  <c r="Y69" i="165"/>
  <c r="Y68" i="165"/>
  <c r="Y67" i="165"/>
  <c r="Y66" i="165"/>
  <c r="Y65" i="165"/>
  <c r="Y64" i="165"/>
  <c r="Y63" i="165"/>
  <c r="Y62" i="165"/>
  <c r="Y61" i="165"/>
  <c r="Y60" i="165"/>
  <c r="Y59" i="165"/>
  <c r="Y58" i="165"/>
  <c r="Y57" i="165"/>
  <c r="Y56" i="165"/>
  <c r="Y55" i="165"/>
  <c r="Y54" i="165"/>
  <c r="Y53" i="165"/>
  <c r="Y52" i="165"/>
  <c r="Y51" i="165"/>
  <c r="Y50" i="165"/>
  <c r="Y49" i="165"/>
  <c r="Y48" i="165"/>
  <c r="Y47" i="165"/>
  <c r="Y46" i="165"/>
  <c r="Y45" i="165"/>
  <c r="Y44" i="165"/>
  <c r="Y43" i="165"/>
  <c r="Y42" i="165"/>
  <c r="Y41" i="165"/>
  <c r="Y40" i="165"/>
  <c r="Y39" i="165"/>
  <c r="Y38" i="165"/>
  <c r="Y37" i="165"/>
  <c r="Y36" i="165"/>
  <c r="Y35" i="165"/>
  <c r="Y34" i="165"/>
  <c r="Y33" i="165"/>
  <c r="Y32" i="165"/>
  <c r="Y31" i="165"/>
  <c r="Y30" i="165"/>
  <c r="Y29" i="165"/>
  <c r="Y28" i="165"/>
  <c r="W33" i="162" l="1"/>
  <c r="H101" i="166"/>
  <c r="H73" i="166"/>
  <c r="H92" i="165"/>
  <c r="H130" i="165"/>
  <c r="H147" i="165"/>
  <c r="H117" i="165"/>
  <c r="H131" i="165"/>
  <c r="H98" i="165"/>
  <c r="H40" i="165"/>
  <c r="H73" i="165"/>
  <c r="H106" i="165"/>
  <c r="H33" i="165"/>
  <c r="H100" i="165"/>
  <c r="H39" i="165"/>
  <c r="H108" i="165"/>
  <c r="H126" i="165"/>
  <c r="H28" i="165"/>
  <c r="S28" i="165" s="1"/>
  <c r="H88" i="165"/>
  <c r="H34" i="165"/>
  <c r="H97" i="165"/>
  <c r="H52" i="165"/>
  <c r="H89" i="165"/>
  <c r="H125" i="165"/>
  <c r="H129" i="165"/>
  <c r="H49" i="165"/>
  <c r="H30" i="165"/>
  <c r="H128" i="165"/>
  <c r="H29" i="165"/>
  <c r="H60" i="165"/>
  <c r="H102" i="165"/>
  <c r="H141" i="165"/>
  <c r="H90" i="165"/>
  <c r="H31" i="166"/>
  <c r="H72" i="166"/>
  <c r="H67" i="166"/>
  <c r="H93" i="165"/>
  <c r="H79" i="165"/>
  <c r="H137" i="165"/>
  <c r="H42" i="165"/>
  <c r="H119" i="165"/>
  <c r="H81" i="165"/>
  <c r="H94" i="165"/>
  <c r="H84" i="165"/>
  <c r="H133" i="165"/>
  <c r="H48" i="165"/>
  <c r="H127" i="165"/>
  <c r="H101" i="165"/>
  <c r="H136" i="165"/>
  <c r="H146" i="165"/>
  <c r="H110" i="165"/>
  <c r="H37" i="165"/>
  <c r="H53" i="165"/>
  <c r="H35" i="165"/>
  <c r="H68" i="165"/>
  <c r="H145" i="165"/>
  <c r="H72" i="165"/>
  <c r="H55" i="165"/>
  <c r="H54" i="165"/>
  <c r="H76" i="165"/>
  <c r="H74" i="165"/>
  <c r="H44" i="165"/>
  <c r="H118" i="165"/>
  <c r="H122" i="165"/>
  <c r="H63" i="165"/>
  <c r="H88" i="166"/>
  <c r="H43" i="166"/>
  <c r="H81" i="166"/>
  <c r="H52" i="166"/>
  <c r="H61" i="165"/>
  <c r="H87" i="165"/>
  <c r="H51" i="165"/>
  <c r="H64" i="165"/>
  <c r="H78" i="165"/>
  <c r="H43" i="165"/>
  <c r="H138" i="165"/>
  <c r="H124" i="165"/>
  <c r="H41" i="165"/>
  <c r="H57" i="165"/>
  <c r="H66" i="165"/>
  <c r="H56" i="165"/>
  <c r="H114" i="165"/>
  <c r="H109" i="165"/>
  <c r="H45" i="165"/>
  <c r="H77" i="165"/>
  <c r="H75" i="165"/>
  <c r="H96" i="165"/>
  <c r="H120" i="165"/>
  <c r="H80" i="165"/>
  <c r="H58" i="165"/>
  <c r="H85" i="165"/>
  <c r="H140" i="165"/>
  <c r="H111" i="165"/>
  <c r="H144" i="165"/>
  <c r="H115" i="165"/>
  <c r="H47" i="165"/>
  <c r="H103" i="165"/>
  <c r="H104" i="165"/>
  <c r="D133" i="166"/>
  <c r="I133" i="166" s="1"/>
  <c r="AF57" i="162"/>
  <c r="W32" i="162"/>
  <c r="K41" i="162"/>
  <c r="H70" i="166"/>
  <c r="H38" i="166"/>
  <c r="H30" i="166"/>
  <c r="H55" i="166"/>
  <c r="H100" i="166"/>
  <c r="H92" i="166"/>
  <c r="Y146" i="166"/>
  <c r="D146" i="166" s="1"/>
  <c r="I146" i="166" s="1"/>
  <c r="Y142" i="166"/>
  <c r="D142" i="166" s="1"/>
  <c r="I142" i="166" s="1"/>
  <c r="Y138" i="166"/>
  <c r="Y134" i="166"/>
  <c r="D134" i="166" s="1"/>
  <c r="I134" i="166" s="1"/>
  <c r="Y131" i="166"/>
  <c r="D131" i="166" s="1"/>
  <c r="I131" i="166" s="1"/>
  <c r="Y128" i="166"/>
  <c r="Y124" i="166"/>
  <c r="Y120" i="166"/>
  <c r="D120" i="166" s="1"/>
  <c r="I120" i="166" s="1"/>
  <c r="Y116" i="166"/>
  <c r="Y112" i="166"/>
  <c r="D112" i="166" s="1"/>
  <c r="Y108" i="166"/>
  <c r="Y104" i="166"/>
  <c r="D104" i="166" s="1"/>
  <c r="I104" i="166" s="1"/>
  <c r="Y100" i="166"/>
  <c r="D100" i="166" s="1"/>
  <c r="Y96" i="166"/>
  <c r="D96" i="166" s="1"/>
  <c r="I96" i="166" s="1"/>
  <c r="Y92" i="166"/>
  <c r="Y88" i="166"/>
  <c r="Y84" i="166"/>
  <c r="D84" i="166" s="1"/>
  <c r="I84" i="166" s="1"/>
  <c r="Y80" i="166"/>
  <c r="D80" i="166" s="1"/>
  <c r="I80" i="166" s="1"/>
  <c r="Y76" i="166"/>
  <c r="Y72" i="166"/>
  <c r="D72" i="166" s="1"/>
  <c r="I72" i="166" s="1"/>
  <c r="Y68" i="166"/>
  <c r="D68" i="166" s="1"/>
  <c r="I68" i="166" s="1"/>
  <c r="Y64" i="166"/>
  <c r="D64" i="166" s="1"/>
  <c r="Y60" i="166"/>
  <c r="Y56" i="166"/>
  <c r="Y52" i="166"/>
  <c r="Y48" i="166"/>
  <c r="Y44" i="166"/>
  <c r="Y40" i="166"/>
  <c r="D40" i="166" s="1"/>
  <c r="Y36" i="166"/>
  <c r="D36" i="166" s="1"/>
  <c r="I36" i="166" s="1"/>
  <c r="Y32" i="166"/>
  <c r="Y28" i="166"/>
  <c r="H32" i="166"/>
  <c r="H85" i="166"/>
  <c r="H121" i="166"/>
  <c r="H56" i="166"/>
  <c r="H62" i="166"/>
  <c r="H60" i="166"/>
  <c r="Y145" i="166"/>
  <c r="D145" i="166" s="1"/>
  <c r="I145" i="166" s="1"/>
  <c r="Y141" i="166"/>
  <c r="Y137" i="166"/>
  <c r="Y127" i="166"/>
  <c r="D127" i="166" s="1"/>
  <c r="I127" i="166" s="1"/>
  <c r="Y123" i="166"/>
  <c r="D123" i="166" s="1"/>
  <c r="I123" i="166" s="1"/>
  <c r="Y119" i="166"/>
  <c r="D119" i="166" s="1"/>
  <c r="I119" i="166" s="1"/>
  <c r="Y115" i="166"/>
  <c r="Y111" i="166"/>
  <c r="D111" i="166" s="1"/>
  <c r="I111" i="166" s="1"/>
  <c r="Y107" i="166"/>
  <c r="D107" i="166" s="1"/>
  <c r="I107" i="166" s="1"/>
  <c r="Y103" i="166"/>
  <c r="Y99" i="166"/>
  <c r="D99" i="166" s="1"/>
  <c r="I99" i="166" s="1"/>
  <c r="Y95" i="166"/>
  <c r="D95" i="166" s="1"/>
  <c r="I95" i="166" s="1"/>
  <c r="Y91" i="166"/>
  <c r="Y87" i="166"/>
  <c r="D87" i="166" s="1"/>
  <c r="Y83" i="166"/>
  <c r="Y79" i="166"/>
  <c r="D79" i="166" s="1"/>
  <c r="I79" i="166" s="1"/>
  <c r="Y75" i="166"/>
  <c r="D75" i="166" s="1"/>
  <c r="I75" i="166" s="1"/>
  <c r="Y71" i="166"/>
  <c r="Y67" i="166"/>
  <c r="D67" i="166" s="1"/>
  <c r="I67" i="166" s="1"/>
  <c r="Y63" i="166"/>
  <c r="D63" i="166" s="1"/>
  <c r="I63" i="166" s="1"/>
  <c r="Y59" i="166"/>
  <c r="Y55" i="166"/>
  <c r="Y51" i="166"/>
  <c r="Y47" i="166"/>
  <c r="D47" i="166" s="1"/>
  <c r="I47" i="166" s="1"/>
  <c r="Y43" i="166"/>
  <c r="D43" i="166" s="1"/>
  <c r="I43" i="166" s="1"/>
  <c r="Y39" i="166"/>
  <c r="Y35" i="166"/>
  <c r="Y31" i="166"/>
  <c r="D31" i="166" s="1"/>
  <c r="I31" i="166" s="1"/>
  <c r="C53" i="162"/>
  <c r="AF56" i="162"/>
  <c r="E25" i="166"/>
  <c r="N22" i="166"/>
  <c r="N22" i="165"/>
  <c r="E25" i="165"/>
  <c r="C52" i="162"/>
  <c r="C27" i="166"/>
  <c r="B27" i="166" s="1"/>
  <c r="D58" i="166"/>
  <c r="I58" i="166" s="1"/>
  <c r="D54" i="166"/>
  <c r="I54" i="166" s="1"/>
  <c r="E51" i="162"/>
  <c r="D141" i="166"/>
  <c r="I141" i="166" s="1"/>
  <c r="D77" i="166"/>
  <c r="I77" i="166" s="1"/>
  <c r="E57" i="162"/>
  <c r="D61" i="166"/>
  <c r="D116" i="166"/>
  <c r="I116" i="166" s="1"/>
  <c r="D38" i="166"/>
  <c r="I38" i="166" s="1"/>
  <c r="D147" i="166"/>
  <c r="I147" i="166" s="1"/>
  <c r="D42" i="166"/>
  <c r="I42" i="166" s="1"/>
  <c r="D108" i="166"/>
  <c r="I108" i="166" s="1"/>
  <c r="D53" i="166"/>
  <c r="I53" i="166" s="1"/>
  <c r="B18" i="165"/>
  <c r="D57" i="166"/>
  <c r="I57" i="166" s="1"/>
  <c r="D137" i="166"/>
  <c r="I137" i="166" s="1"/>
  <c r="D103" i="166"/>
  <c r="I103" i="166" s="1"/>
  <c r="D50" i="166"/>
  <c r="I50" i="166" s="1"/>
  <c r="D34" i="166"/>
  <c r="I34" i="166" s="1"/>
  <c r="D71" i="166"/>
  <c r="I71" i="166" s="1"/>
  <c r="D82" i="166"/>
  <c r="I82" i="166" s="1"/>
  <c r="D105" i="166"/>
  <c r="I105" i="166" s="1"/>
  <c r="D136" i="166"/>
  <c r="D106" i="166"/>
  <c r="I106" i="166" s="1"/>
  <c r="D98" i="166"/>
  <c r="I98" i="166" s="1"/>
  <c r="D70" i="166"/>
  <c r="I70" i="166" s="1"/>
  <c r="I61" i="166"/>
  <c r="I130" i="166"/>
  <c r="I87" i="166"/>
  <c r="D28" i="166"/>
  <c r="I28" i="166" s="1"/>
  <c r="D91" i="166"/>
  <c r="I91" i="166" s="1"/>
  <c r="D74" i="166"/>
  <c r="I74" i="166" s="1"/>
  <c r="D49" i="166"/>
  <c r="I49" i="166" s="1"/>
  <c r="D35" i="166"/>
  <c r="I35" i="166" s="1"/>
  <c r="D32" i="166"/>
  <c r="I32" i="166" s="1"/>
  <c r="D122" i="166"/>
  <c r="I122" i="166" s="1"/>
  <c r="D90" i="166"/>
  <c r="I90" i="166" s="1"/>
  <c r="D73" i="166"/>
  <c r="I73" i="166" s="1"/>
  <c r="D46" i="166"/>
  <c r="I46" i="166" s="1"/>
  <c r="D30" i="166"/>
  <c r="I30" i="166" s="1"/>
  <c r="D118" i="166"/>
  <c r="I118" i="166" s="1"/>
  <c r="D59" i="166"/>
  <c r="I59" i="166" s="1"/>
  <c r="D92" i="166"/>
  <c r="I92" i="166" s="1"/>
  <c r="D143" i="166"/>
  <c r="I143" i="166" s="1"/>
  <c r="D139" i="166"/>
  <c r="I139" i="166" s="1"/>
  <c r="D135" i="166"/>
  <c r="I135" i="166" s="1"/>
  <c r="D132" i="166"/>
  <c r="I132" i="166" s="1"/>
  <c r="D129" i="166"/>
  <c r="I129" i="166" s="1"/>
  <c r="D125" i="166"/>
  <c r="I125" i="166" s="1"/>
  <c r="D121" i="166"/>
  <c r="I121" i="166" s="1"/>
  <c r="D117" i="166"/>
  <c r="I117" i="166" s="1"/>
  <c r="D113" i="166"/>
  <c r="I113" i="166" s="1"/>
  <c r="D109" i="166"/>
  <c r="I109" i="166" s="1"/>
  <c r="D101" i="166"/>
  <c r="I101" i="166" s="1"/>
  <c r="D97" i="166"/>
  <c r="I97" i="166" s="1"/>
  <c r="D93" i="166"/>
  <c r="I93" i="166" s="1"/>
  <c r="D89" i="166"/>
  <c r="I89" i="166" s="1"/>
  <c r="D85" i="166"/>
  <c r="I85" i="166" s="1"/>
  <c r="D81" i="166"/>
  <c r="I81" i="166" s="1"/>
  <c r="D69" i="166"/>
  <c r="I69" i="166" s="1"/>
  <c r="D29" i="166"/>
  <c r="I29" i="166" s="1"/>
  <c r="D140" i="166"/>
  <c r="I140" i="166" s="1"/>
  <c r="D76" i="166"/>
  <c r="D37" i="166"/>
  <c r="I37" i="166" s="1"/>
  <c r="D25" i="166"/>
  <c r="D114" i="166"/>
  <c r="I114" i="166" s="1"/>
  <c r="D55" i="166"/>
  <c r="I55" i="166" s="1"/>
  <c r="D39" i="166"/>
  <c r="I39" i="166" s="1"/>
  <c r="D126" i="166"/>
  <c r="I126" i="166" s="1"/>
  <c r="D102" i="166"/>
  <c r="I102" i="166" s="1"/>
  <c r="D86" i="166"/>
  <c r="I86" i="166" s="1"/>
  <c r="D78" i="166"/>
  <c r="I78" i="166" s="1"/>
  <c r="D66" i="166"/>
  <c r="I66" i="166" s="1"/>
  <c r="D115" i="166"/>
  <c r="I115" i="166" s="1"/>
  <c r="D45" i="166"/>
  <c r="I45" i="166" s="1"/>
  <c r="D33" i="166"/>
  <c r="I33" i="166" s="1"/>
  <c r="D144" i="166"/>
  <c r="I144" i="166" s="1"/>
  <c r="D110" i="166"/>
  <c r="I110" i="166" s="1"/>
  <c r="D83" i="166"/>
  <c r="I83" i="166" s="1"/>
  <c r="D62" i="166"/>
  <c r="I62" i="166" s="1"/>
  <c r="D41" i="166"/>
  <c r="I41" i="166" s="1"/>
  <c r="D51" i="166"/>
  <c r="I51" i="166" s="1"/>
  <c r="D52" i="166"/>
  <c r="D65" i="166"/>
  <c r="I65" i="166" s="1"/>
  <c r="D94" i="166"/>
  <c r="I94" i="166" s="1"/>
  <c r="D138" i="166"/>
  <c r="I138" i="166" s="1"/>
  <c r="D128" i="166"/>
  <c r="I128" i="166" s="1"/>
  <c r="D124" i="166"/>
  <c r="D88" i="166"/>
  <c r="D60" i="166"/>
  <c r="I60" i="166" s="1"/>
  <c r="D56" i="166"/>
  <c r="I56" i="166" s="1"/>
  <c r="D48" i="166"/>
  <c r="I48" i="166" s="1"/>
  <c r="D44" i="166"/>
  <c r="I44" i="166" s="1"/>
  <c r="W57" i="162"/>
  <c r="D58" i="165"/>
  <c r="I58" i="165" s="1"/>
  <c r="D86" i="165"/>
  <c r="I86" i="165" s="1"/>
  <c r="D93" i="165"/>
  <c r="I93" i="165" s="1"/>
  <c r="D100" i="165"/>
  <c r="I100" i="165" s="1"/>
  <c r="D108" i="165"/>
  <c r="I108" i="165" s="1"/>
  <c r="D111" i="165"/>
  <c r="I111" i="165" s="1"/>
  <c r="D118" i="165"/>
  <c r="I118" i="165" s="1"/>
  <c r="D62" i="165"/>
  <c r="I62" i="165" s="1"/>
  <c r="D90" i="165"/>
  <c r="I90" i="165" s="1"/>
  <c r="D96" i="165"/>
  <c r="I96" i="165" s="1"/>
  <c r="D104" i="165"/>
  <c r="I104" i="165" s="1"/>
  <c r="D114" i="165"/>
  <c r="I114" i="165" s="1"/>
  <c r="D47" i="165"/>
  <c r="I47" i="165" s="1"/>
  <c r="D51" i="165"/>
  <c r="I51" i="165" s="1"/>
  <c r="D55" i="165"/>
  <c r="I55" i="165" s="1"/>
  <c r="D83" i="165"/>
  <c r="I83" i="165" s="1"/>
  <c r="D28" i="165"/>
  <c r="I28" i="165" s="1"/>
  <c r="D32" i="165"/>
  <c r="I32" i="165" s="1"/>
  <c r="D36" i="165"/>
  <c r="I36" i="165" s="1"/>
  <c r="D40" i="165"/>
  <c r="I40" i="165" s="1"/>
  <c r="D68" i="165"/>
  <c r="I68" i="165" s="1"/>
  <c r="D72" i="165"/>
  <c r="I72" i="165" s="1"/>
  <c r="D76" i="165"/>
  <c r="I76" i="165" s="1"/>
  <c r="D80" i="165"/>
  <c r="I80" i="165" s="1"/>
  <c r="D65" i="165"/>
  <c r="I65" i="165" s="1"/>
  <c r="D124" i="165"/>
  <c r="I124" i="165" s="1"/>
  <c r="D128" i="165"/>
  <c r="I128" i="165" s="1"/>
  <c r="D132" i="165"/>
  <c r="I132" i="165" s="1"/>
  <c r="D135" i="165"/>
  <c r="I135" i="165" s="1"/>
  <c r="D139" i="165"/>
  <c r="I139" i="165" s="1"/>
  <c r="D143" i="165"/>
  <c r="I143" i="165" s="1"/>
  <c r="D29" i="165"/>
  <c r="I29" i="165" s="1"/>
  <c r="D33" i="165"/>
  <c r="I33" i="165" s="1"/>
  <c r="D37" i="165"/>
  <c r="I37" i="165" s="1"/>
  <c r="D41" i="165"/>
  <c r="I41" i="165" s="1"/>
  <c r="D44" i="165"/>
  <c r="I44" i="165" s="1"/>
  <c r="D48" i="165"/>
  <c r="I48" i="165" s="1"/>
  <c r="D52" i="165"/>
  <c r="I52" i="165" s="1"/>
  <c r="D56" i="165"/>
  <c r="I56" i="165" s="1"/>
  <c r="D59" i="165"/>
  <c r="I59" i="165" s="1"/>
  <c r="D63" i="165"/>
  <c r="I63" i="165" s="1"/>
  <c r="D66" i="165"/>
  <c r="I66" i="165" s="1"/>
  <c r="D69" i="165"/>
  <c r="I69" i="165" s="1"/>
  <c r="D73" i="165"/>
  <c r="I73" i="165" s="1"/>
  <c r="D77" i="165"/>
  <c r="I77" i="165" s="1"/>
  <c r="D81" i="165"/>
  <c r="I81" i="165" s="1"/>
  <c r="D84" i="165"/>
  <c r="I84" i="165" s="1"/>
  <c r="D87" i="165"/>
  <c r="I87" i="165" s="1"/>
  <c r="D97" i="165"/>
  <c r="I97" i="165" s="1"/>
  <c r="D101" i="165"/>
  <c r="I101" i="165" s="1"/>
  <c r="D105" i="165"/>
  <c r="I105" i="165" s="1"/>
  <c r="D115" i="165"/>
  <c r="I115" i="165" s="1"/>
  <c r="D121" i="165"/>
  <c r="I121" i="165" s="1"/>
  <c r="D125" i="165"/>
  <c r="I125" i="165" s="1"/>
  <c r="D129" i="165"/>
  <c r="I129" i="165" s="1"/>
  <c r="D136" i="165"/>
  <c r="I136" i="165" s="1"/>
  <c r="D140" i="165"/>
  <c r="I140" i="165" s="1"/>
  <c r="D146" i="165"/>
  <c r="I146" i="165" s="1"/>
  <c r="D30" i="165"/>
  <c r="I30" i="165" s="1"/>
  <c r="D34" i="165"/>
  <c r="I34" i="165" s="1"/>
  <c r="D38" i="165"/>
  <c r="I38" i="165" s="1"/>
  <c r="D42" i="165"/>
  <c r="I42" i="165" s="1"/>
  <c r="D45" i="165"/>
  <c r="I45" i="165" s="1"/>
  <c r="D49" i="165"/>
  <c r="I49" i="165" s="1"/>
  <c r="D53" i="165"/>
  <c r="I53" i="165" s="1"/>
  <c r="D60" i="165"/>
  <c r="I60" i="165" s="1"/>
  <c r="D64" i="165"/>
  <c r="I64" i="165" s="1"/>
  <c r="D67" i="165"/>
  <c r="I67" i="165" s="1"/>
  <c r="D70" i="165"/>
  <c r="I70" i="165" s="1"/>
  <c r="D74" i="165"/>
  <c r="I74" i="165" s="1"/>
  <c r="D78" i="165"/>
  <c r="I78" i="165" s="1"/>
  <c r="D85" i="165"/>
  <c r="I85" i="165" s="1"/>
  <c r="D88" i="165"/>
  <c r="I88" i="165" s="1"/>
  <c r="D91" i="165"/>
  <c r="I91" i="165" s="1"/>
  <c r="D94" i="165"/>
  <c r="I94" i="165" s="1"/>
  <c r="D98" i="165"/>
  <c r="I98" i="165" s="1"/>
  <c r="D102" i="165"/>
  <c r="I102" i="165" s="1"/>
  <c r="D106" i="165"/>
  <c r="I106" i="165" s="1"/>
  <c r="D109" i="165"/>
  <c r="I109" i="165" s="1"/>
  <c r="D112" i="165"/>
  <c r="I112" i="165" s="1"/>
  <c r="D116" i="165"/>
  <c r="I116" i="165" s="1"/>
  <c r="D119" i="165"/>
  <c r="I119" i="165" s="1"/>
  <c r="D122" i="165"/>
  <c r="I122" i="165" s="1"/>
  <c r="D126" i="165"/>
  <c r="I126" i="165" s="1"/>
  <c r="D130" i="165"/>
  <c r="I130" i="165" s="1"/>
  <c r="D133" i="165"/>
  <c r="I133" i="165" s="1"/>
  <c r="D137" i="165"/>
  <c r="I137" i="165" s="1"/>
  <c r="D141" i="165"/>
  <c r="I141" i="165" s="1"/>
  <c r="D144" i="165"/>
  <c r="I144" i="165" s="1"/>
  <c r="D147" i="165"/>
  <c r="I147" i="165" s="1"/>
  <c r="D31" i="165"/>
  <c r="I31" i="165" s="1"/>
  <c r="D35" i="165"/>
  <c r="I35" i="165" s="1"/>
  <c r="D39" i="165"/>
  <c r="I39" i="165" s="1"/>
  <c r="D43" i="165"/>
  <c r="I43" i="165" s="1"/>
  <c r="D46" i="165"/>
  <c r="I46" i="165" s="1"/>
  <c r="D50" i="165"/>
  <c r="I50" i="165" s="1"/>
  <c r="D54" i="165"/>
  <c r="I54" i="165" s="1"/>
  <c r="D57" i="165"/>
  <c r="I57" i="165" s="1"/>
  <c r="D61" i="165"/>
  <c r="I61" i="165" s="1"/>
  <c r="D71" i="165"/>
  <c r="I71" i="165" s="1"/>
  <c r="D75" i="165"/>
  <c r="I75" i="165" s="1"/>
  <c r="D79" i="165"/>
  <c r="I79" i="165" s="1"/>
  <c r="D82" i="165"/>
  <c r="I82" i="165" s="1"/>
  <c r="D89" i="165"/>
  <c r="I89" i="165" s="1"/>
  <c r="D92" i="165"/>
  <c r="I92" i="165" s="1"/>
  <c r="D95" i="165"/>
  <c r="I95" i="165" s="1"/>
  <c r="D99" i="165"/>
  <c r="I99" i="165" s="1"/>
  <c r="D103" i="165"/>
  <c r="I103" i="165" s="1"/>
  <c r="D107" i="165"/>
  <c r="I107" i="165" s="1"/>
  <c r="D110" i="165"/>
  <c r="I110" i="165" s="1"/>
  <c r="D113" i="165"/>
  <c r="I113" i="165" s="1"/>
  <c r="D117" i="165"/>
  <c r="I117" i="165" s="1"/>
  <c r="D120" i="165"/>
  <c r="I120" i="165" s="1"/>
  <c r="D123" i="165"/>
  <c r="I123" i="165" s="1"/>
  <c r="D127" i="165"/>
  <c r="I127" i="165" s="1"/>
  <c r="D131" i="165"/>
  <c r="I131" i="165" s="1"/>
  <c r="D134" i="165"/>
  <c r="I134" i="165" s="1"/>
  <c r="D138" i="165"/>
  <c r="I138" i="165" s="1"/>
  <c r="D142" i="165"/>
  <c r="I142" i="165" s="1"/>
  <c r="D145" i="165"/>
  <c r="I145" i="165" s="1"/>
  <c r="K32" i="162"/>
  <c r="H8" i="166"/>
  <c r="I8" i="166" s="1"/>
  <c r="N57" i="162"/>
  <c r="B8" i="166"/>
  <c r="B19" i="165"/>
  <c r="B8" i="167"/>
  <c r="V169" i="6"/>
  <c r="B19" i="167"/>
  <c r="C27" i="167"/>
  <c r="O27" i="167" s="1"/>
  <c r="Q27" i="167" s="1"/>
  <c r="Y147" i="167"/>
  <c r="D147" i="167" s="1"/>
  <c r="I147" i="167" s="1"/>
  <c r="Y70" i="167"/>
  <c r="D70" i="167" s="1"/>
  <c r="I70" i="167" s="1"/>
  <c r="Y69" i="167"/>
  <c r="D69" i="167" s="1"/>
  <c r="I69" i="167" s="1"/>
  <c r="Y64" i="167"/>
  <c r="D64" i="167" s="1"/>
  <c r="Y63" i="167"/>
  <c r="D63" i="167" s="1"/>
  <c r="I63" i="167" s="1"/>
  <c r="Y62" i="167"/>
  <c r="D62" i="167" s="1"/>
  <c r="I62" i="167" s="1"/>
  <c r="Y118" i="167"/>
  <c r="D118" i="167" s="1"/>
  <c r="I118" i="167" s="1"/>
  <c r="Y117" i="167"/>
  <c r="D117" i="167" s="1"/>
  <c r="I117" i="167" s="1"/>
  <c r="Y116" i="167"/>
  <c r="D116" i="167" s="1"/>
  <c r="I116" i="167" s="1"/>
  <c r="Y115" i="167"/>
  <c r="D115" i="167" s="1"/>
  <c r="I115" i="167" s="1"/>
  <c r="Y114" i="167"/>
  <c r="D114" i="167" s="1"/>
  <c r="I114" i="167" s="1"/>
  <c r="Y113" i="167"/>
  <c r="D113" i="167" s="1"/>
  <c r="I113" i="167" s="1"/>
  <c r="Y36" i="167"/>
  <c r="D36" i="167" s="1"/>
  <c r="I36" i="167" s="1"/>
  <c r="Y101" i="167"/>
  <c r="D101" i="167" s="1"/>
  <c r="I101" i="167" s="1"/>
  <c r="Y100" i="167"/>
  <c r="D100" i="167" s="1"/>
  <c r="Y99" i="167"/>
  <c r="D99" i="167" s="1"/>
  <c r="I99" i="167" s="1"/>
  <c r="Y98" i="167"/>
  <c r="D98" i="167" s="1"/>
  <c r="I98" i="167" s="1"/>
  <c r="Y97" i="167"/>
  <c r="D97" i="167" s="1"/>
  <c r="I97" i="167" s="1"/>
  <c r="Y96" i="167"/>
  <c r="D96" i="167" s="1"/>
  <c r="I96" i="167" s="1"/>
  <c r="Y95" i="167"/>
  <c r="D95" i="167" s="1"/>
  <c r="I95" i="167" s="1"/>
  <c r="Y94" i="167"/>
  <c r="D94" i="167" s="1"/>
  <c r="I94" i="167" s="1"/>
  <c r="Y93" i="167"/>
  <c r="D93" i="167" s="1"/>
  <c r="I93" i="167" s="1"/>
  <c r="H81" i="167"/>
  <c r="H137" i="167"/>
  <c r="H103" i="167"/>
  <c r="H80" i="167"/>
  <c r="H46" i="167"/>
  <c r="H77" i="167"/>
  <c r="H64" i="167"/>
  <c r="H141" i="167"/>
  <c r="H100" i="167"/>
  <c r="H93" i="167"/>
  <c r="H43" i="167"/>
  <c r="H95" i="167"/>
  <c r="H102" i="167"/>
  <c r="H107" i="167"/>
  <c r="H125" i="167"/>
  <c r="H112" i="167"/>
  <c r="H28" i="167"/>
  <c r="S28" i="167" s="1"/>
  <c r="H126" i="167"/>
  <c r="H114" i="167"/>
  <c r="H29" i="167"/>
  <c r="H144" i="167"/>
  <c r="H111" i="167"/>
  <c r="H70" i="167"/>
  <c r="H145" i="167"/>
  <c r="H146" i="167"/>
  <c r="H73" i="167"/>
  <c r="H67" i="167"/>
  <c r="H120" i="167"/>
  <c r="H34" i="167"/>
  <c r="H72" i="167"/>
  <c r="H97" i="167"/>
  <c r="H147" i="167"/>
  <c r="H143" i="167"/>
  <c r="H50" i="167"/>
  <c r="H98" i="167"/>
  <c r="H104" i="167"/>
  <c r="H38" i="167"/>
  <c r="H83" i="167"/>
  <c r="H37" i="167"/>
  <c r="H39" i="167"/>
  <c r="H139" i="167"/>
  <c r="H60" i="167"/>
  <c r="H44" i="167"/>
  <c r="H35" i="167"/>
  <c r="H52" i="167"/>
  <c r="H56" i="167"/>
  <c r="H135" i="167"/>
  <c r="H40" i="167"/>
  <c r="H124" i="167"/>
  <c r="H69" i="167"/>
  <c r="H127" i="167"/>
  <c r="H58" i="167"/>
  <c r="H75" i="167"/>
  <c r="H109" i="167"/>
  <c r="H108" i="167"/>
  <c r="H30" i="167"/>
  <c r="H140" i="167"/>
  <c r="H61" i="167"/>
  <c r="H55" i="167"/>
  <c r="H129" i="167"/>
  <c r="H42" i="167"/>
  <c r="H128" i="167"/>
  <c r="H136" i="167"/>
  <c r="H118" i="167"/>
  <c r="H62" i="167"/>
  <c r="H105" i="167"/>
  <c r="H71" i="167"/>
  <c r="H94" i="167"/>
  <c r="H76" i="167"/>
  <c r="H121" i="167"/>
  <c r="H90" i="167"/>
  <c r="H113" i="167"/>
  <c r="H99" i="167"/>
  <c r="H47" i="167"/>
  <c r="H49" i="167"/>
  <c r="H133" i="167"/>
  <c r="H106" i="167"/>
  <c r="H57" i="167"/>
  <c r="H32" i="167"/>
  <c r="H78" i="167"/>
  <c r="H123" i="167"/>
  <c r="H122" i="167"/>
  <c r="H59" i="167"/>
  <c r="H68" i="167"/>
  <c r="H65" i="167"/>
  <c r="H142" i="167"/>
  <c r="H116" i="167"/>
  <c r="H36" i="167"/>
  <c r="H107" i="166"/>
  <c r="H58" i="166"/>
  <c r="H36" i="166"/>
  <c r="H114" i="166"/>
  <c r="H63" i="166"/>
  <c r="H53" i="166"/>
  <c r="H103" i="166"/>
  <c r="H57" i="166"/>
  <c r="H40" i="166"/>
  <c r="H44" i="166"/>
  <c r="H146" i="166"/>
  <c r="H45" i="166"/>
  <c r="H122" i="166"/>
  <c r="H86" i="166"/>
  <c r="H139" i="166"/>
  <c r="H89" i="166"/>
  <c r="H90" i="166"/>
  <c r="H50" i="166"/>
  <c r="H97" i="166"/>
  <c r="H125" i="166"/>
  <c r="H124" i="166"/>
  <c r="H93" i="166"/>
  <c r="H46" i="166"/>
  <c r="H123" i="166"/>
  <c r="H61" i="166"/>
  <c r="H42" i="166"/>
  <c r="H71" i="166"/>
  <c r="H94" i="166"/>
  <c r="H69" i="166"/>
  <c r="H29" i="166"/>
  <c r="H115" i="166"/>
  <c r="H33" i="166"/>
  <c r="H141" i="166"/>
  <c r="H144" i="166"/>
  <c r="H131" i="166"/>
  <c r="H142" i="166"/>
  <c r="H66" i="166"/>
  <c r="H127" i="166"/>
  <c r="H37" i="166"/>
  <c r="H111" i="166"/>
  <c r="H75" i="166"/>
  <c r="H84" i="166"/>
  <c r="H112" i="166"/>
  <c r="H78" i="166"/>
  <c r="H118" i="166"/>
  <c r="H120" i="166"/>
  <c r="H136" i="166"/>
  <c r="H91" i="166"/>
  <c r="H87" i="166"/>
  <c r="H95" i="166"/>
  <c r="H82" i="166"/>
  <c r="H99" i="166"/>
  <c r="H132" i="166"/>
  <c r="H39" i="166"/>
  <c r="H83" i="166"/>
  <c r="H48" i="166"/>
  <c r="H117" i="166"/>
  <c r="H41" i="166"/>
  <c r="H28" i="166"/>
  <c r="S28" i="166" s="1"/>
  <c r="H74" i="166"/>
  <c r="H35" i="166"/>
  <c r="H130" i="166"/>
  <c r="H102" i="166"/>
  <c r="H108" i="166"/>
  <c r="H64" i="166"/>
  <c r="H135" i="166"/>
  <c r="H49" i="166"/>
  <c r="H47" i="166"/>
  <c r="H106" i="166"/>
  <c r="H96" i="166"/>
  <c r="H145" i="166"/>
  <c r="H51" i="166"/>
  <c r="H116" i="166"/>
  <c r="H130" i="167"/>
  <c r="E25" i="167"/>
  <c r="N22" i="167"/>
  <c r="Y47" i="167"/>
  <c r="D47" i="167" s="1"/>
  <c r="I47" i="167" s="1"/>
  <c r="Y48" i="167"/>
  <c r="D48" i="167" s="1"/>
  <c r="I48" i="167" s="1"/>
  <c r="B19" i="166"/>
  <c r="O27" i="165"/>
  <c r="Q27" i="165" s="1"/>
  <c r="B27" i="165"/>
  <c r="Q25" i="165"/>
  <c r="H129" i="166"/>
  <c r="H79" i="166"/>
  <c r="H113" i="166"/>
  <c r="H126" i="166"/>
  <c r="H98" i="166"/>
  <c r="H138" i="166"/>
  <c r="H110" i="166"/>
  <c r="H147" i="166"/>
  <c r="H34" i="166"/>
  <c r="H104" i="166"/>
  <c r="H54" i="166"/>
  <c r="H134" i="166"/>
  <c r="H109" i="166"/>
  <c r="H59" i="166"/>
  <c r="H76" i="166"/>
  <c r="H119" i="166"/>
  <c r="H128" i="166"/>
  <c r="H105" i="166"/>
  <c r="H143" i="166"/>
  <c r="H65" i="166"/>
  <c r="H68" i="166"/>
  <c r="H80" i="166"/>
  <c r="H140" i="166"/>
  <c r="H8" i="165"/>
  <c r="I8" i="165" s="1"/>
  <c r="H8" i="167"/>
  <c r="I8" i="167" s="1"/>
  <c r="Y28" i="167"/>
  <c r="D28" i="167" s="1"/>
  <c r="I28" i="167" s="1"/>
  <c r="Y29" i="167"/>
  <c r="D29" i="167" s="1"/>
  <c r="I29" i="167" s="1"/>
  <c r="Y30" i="167"/>
  <c r="D30" i="167" s="1"/>
  <c r="I30" i="167" s="1"/>
  <c r="Y31" i="167"/>
  <c r="D31" i="167" s="1"/>
  <c r="I31" i="167" s="1"/>
  <c r="Y43" i="167"/>
  <c r="D43" i="167" s="1"/>
  <c r="I43" i="167" s="1"/>
  <c r="Y49" i="167"/>
  <c r="D49" i="167" s="1"/>
  <c r="I49" i="167" s="1"/>
  <c r="Y65" i="167"/>
  <c r="D65" i="167" s="1"/>
  <c r="I65" i="167" s="1"/>
  <c r="Y71" i="167"/>
  <c r="D71" i="167" s="1"/>
  <c r="I71" i="167" s="1"/>
  <c r="Y72" i="167"/>
  <c r="D72" i="167" s="1"/>
  <c r="I72" i="167" s="1"/>
  <c r="Y73" i="167"/>
  <c r="D73" i="167" s="1"/>
  <c r="I73" i="167" s="1"/>
  <c r="Y74" i="167"/>
  <c r="D74" i="167" s="1"/>
  <c r="I74" i="167" s="1"/>
  <c r="Y75" i="167"/>
  <c r="D75" i="167" s="1"/>
  <c r="I75" i="167" s="1"/>
  <c r="Y76" i="167"/>
  <c r="D76" i="167" s="1"/>
  <c r="Y77" i="167"/>
  <c r="D77" i="167" s="1"/>
  <c r="I77" i="167" s="1"/>
  <c r="Y78" i="167"/>
  <c r="D78" i="167" s="1"/>
  <c r="I78" i="167" s="1"/>
  <c r="Y102" i="167"/>
  <c r="D102" i="167" s="1"/>
  <c r="I102" i="167" s="1"/>
  <c r="Y103" i="167"/>
  <c r="D103" i="167" s="1"/>
  <c r="I103" i="167" s="1"/>
  <c r="Y119" i="167"/>
  <c r="D119" i="167" s="1"/>
  <c r="I119" i="167" s="1"/>
  <c r="Y120" i="167"/>
  <c r="D120" i="167" s="1"/>
  <c r="I120" i="167" s="1"/>
  <c r="Y121" i="167"/>
  <c r="D121" i="167" s="1"/>
  <c r="I121" i="167" s="1"/>
  <c r="Y122" i="167"/>
  <c r="D122" i="167" s="1"/>
  <c r="I122" i="167" s="1"/>
  <c r="Y123" i="167"/>
  <c r="D123" i="167" s="1"/>
  <c r="I123" i="167" s="1"/>
  <c r="Y124" i="167"/>
  <c r="D124" i="167" s="1"/>
  <c r="Y125" i="167"/>
  <c r="D125" i="167" s="1"/>
  <c r="I125" i="167" s="1"/>
  <c r="Y126" i="167"/>
  <c r="D126" i="167" s="1"/>
  <c r="I126" i="167" s="1"/>
  <c r="Y127" i="167"/>
  <c r="D127" i="167" s="1"/>
  <c r="I127" i="167" s="1"/>
  <c r="Y128" i="167"/>
  <c r="D128" i="167" s="1"/>
  <c r="I128" i="167" s="1"/>
  <c r="Y129" i="167"/>
  <c r="D129" i="167" s="1"/>
  <c r="I129" i="167" s="1"/>
  <c r="Y130" i="167"/>
  <c r="D130" i="167" s="1"/>
  <c r="I130" i="167" s="1"/>
  <c r="Y37" i="167"/>
  <c r="D37" i="167" s="1"/>
  <c r="I37" i="167" s="1"/>
  <c r="Y38" i="167"/>
  <c r="D38" i="167" s="1"/>
  <c r="I38" i="167" s="1"/>
  <c r="Y39" i="167"/>
  <c r="D39" i="167" s="1"/>
  <c r="I39" i="167" s="1"/>
  <c r="Y40" i="167"/>
  <c r="D40" i="167" s="1"/>
  <c r="Y41" i="167"/>
  <c r="D41" i="167" s="1"/>
  <c r="I41" i="167" s="1"/>
  <c r="Y44" i="167"/>
  <c r="D44" i="167" s="1"/>
  <c r="I44" i="167" s="1"/>
  <c r="Y45" i="167"/>
  <c r="D45" i="167" s="1"/>
  <c r="I45" i="167" s="1"/>
  <c r="Y46" i="167"/>
  <c r="D46" i="167" s="1"/>
  <c r="I46" i="167" s="1"/>
  <c r="Y50" i="167"/>
  <c r="D50" i="167" s="1"/>
  <c r="I50" i="167" s="1"/>
  <c r="Y51" i="167"/>
  <c r="D51" i="167" s="1"/>
  <c r="I51" i="167" s="1"/>
  <c r="Y52" i="167"/>
  <c r="D52" i="167" s="1"/>
  <c r="Y53" i="167"/>
  <c r="D53" i="167" s="1"/>
  <c r="I53" i="167" s="1"/>
  <c r="Y54" i="167"/>
  <c r="D54" i="167" s="1"/>
  <c r="I54" i="167" s="1"/>
  <c r="Y55" i="167"/>
  <c r="D55" i="167" s="1"/>
  <c r="I55" i="167" s="1"/>
  <c r="Y56" i="167"/>
  <c r="D56" i="167" s="1"/>
  <c r="I56" i="167" s="1"/>
  <c r="Y57" i="167"/>
  <c r="D57" i="167" s="1"/>
  <c r="I57" i="167" s="1"/>
  <c r="Y58" i="167"/>
  <c r="D58" i="167" s="1"/>
  <c r="I58" i="167" s="1"/>
  <c r="Y59" i="167"/>
  <c r="D59" i="167" s="1"/>
  <c r="I59" i="167" s="1"/>
  <c r="Y60" i="167"/>
  <c r="D60" i="167" s="1"/>
  <c r="I60" i="167" s="1"/>
  <c r="Y79" i="167"/>
  <c r="D79" i="167" s="1"/>
  <c r="I79" i="167" s="1"/>
  <c r="Y80" i="167"/>
  <c r="D80" i="167" s="1"/>
  <c r="I80" i="167" s="1"/>
  <c r="Y81" i="167"/>
  <c r="D81" i="167" s="1"/>
  <c r="I81" i="167" s="1"/>
  <c r="Y82" i="167"/>
  <c r="D82" i="167" s="1"/>
  <c r="I82" i="167" s="1"/>
  <c r="Y83" i="167"/>
  <c r="D83" i="167" s="1"/>
  <c r="I83" i="167" s="1"/>
  <c r="Y84" i="167"/>
  <c r="D84" i="167" s="1"/>
  <c r="I84" i="167" s="1"/>
  <c r="Y85" i="167"/>
  <c r="D85" i="167" s="1"/>
  <c r="I85" i="167" s="1"/>
  <c r="Y86" i="167"/>
  <c r="D86" i="167" s="1"/>
  <c r="I86" i="167" s="1"/>
  <c r="Y87" i="167"/>
  <c r="D87" i="167" s="1"/>
  <c r="I87" i="167" s="1"/>
  <c r="Y88" i="167"/>
  <c r="D88" i="167" s="1"/>
  <c r="Y89" i="167"/>
  <c r="D89" i="167" s="1"/>
  <c r="I89" i="167" s="1"/>
  <c r="Y90" i="167"/>
  <c r="D90" i="167" s="1"/>
  <c r="I90" i="167" s="1"/>
  <c r="Y104" i="167"/>
  <c r="D104" i="167" s="1"/>
  <c r="I104" i="167" s="1"/>
  <c r="Y105" i="167"/>
  <c r="D105" i="167" s="1"/>
  <c r="I105" i="167" s="1"/>
  <c r="Y106" i="167"/>
  <c r="D106" i="167" s="1"/>
  <c r="I106" i="167" s="1"/>
  <c r="Y107" i="167"/>
  <c r="D107" i="167" s="1"/>
  <c r="I107" i="167" s="1"/>
  <c r="Y108" i="167"/>
  <c r="D108" i="167" s="1"/>
  <c r="I108" i="167" s="1"/>
  <c r="Y109" i="167"/>
  <c r="D109" i="167" s="1"/>
  <c r="I109" i="167" s="1"/>
  <c r="Y110" i="167"/>
  <c r="D110" i="167" s="1"/>
  <c r="I110" i="167" s="1"/>
  <c r="Y111" i="167"/>
  <c r="D111" i="167" s="1"/>
  <c r="I111" i="167" s="1"/>
  <c r="Y131" i="167"/>
  <c r="D131" i="167" s="1"/>
  <c r="I131" i="167" s="1"/>
  <c r="Y132" i="167"/>
  <c r="D132" i="167" s="1"/>
  <c r="I132" i="167" s="1"/>
  <c r="Y133" i="167"/>
  <c r="D133" i="167" s="1"/>
  <c r="I133" i="167" s="1"/>
  <c r="Y134" i="167"/>
  <c r="D134" i="167" s="1"/>
  <c r="I134" i="167" s="1"/>
  <c r="Y135" i="167"/>
  <c r="D135" i="167" s="1"/>
  <c r="I135" i="167" s="1"/>
  <c r="Y136" i="167"/>
  <c r="D136" i="167" s="1"/>
  <c r="Y137" i="167"/>
  <c r="D137" i="167" s="1"/>
  <c r="I137" i="167" s="1"/>
  <c r="Y138" i="167"/>
  <c r="D138" i="167" s="1"/>
  <c r="I138" i="167" s="1"/>
  <c r="Y139" i="167"/>
  <c r="D139" i="167" s="1"/>
  <c r="I139" i="167" s="1"/>
  <c r="Y140" i="167"/>
  <c r="D140" i="167" s="1"/>
  <c r="I140" i="167" s="1"/>
  <c r="Y141" i="167"/>
  <c r="D141" i="167" s="1"/>
  <c r="I141" i="167" s="1"/>
  <c r="Y142" i="167"/>
  <c r="D142" i="167" s="1"/>
  <c r="I142" i="167" s="1"/>
  <c r="Y143" i="167"/>
  <c r="D143" i="167" s="1"/>
  <c r="I143" i="167" s="1"/>
  <c r="Y144" i="167"/>
  <c r="D144" i="167" s="1"/>
  <c r="I144" i="167" s="1"/>
  <c r="Y32" i="167"/>
  <c r="D32" i="167" s="1"/>
  <c r="I32" i="167" s="1"/>
  <c r="Y33" i="167"/>
  <c r="D33" i="167" s="1"/>
  <c r="I33" i="167" s="1"/>
  <c r="Y34" i="167"/>
  <c r="D34" i="167" s="1"/>
  <c r="I34" i="167" s="1"/>
  <c r="Y35" i="167"/>
  <c r="D35" i="167" s="1"/>
  <c r="I35" i="167" s="1"/>
  <c r="Y42" i="167"/>
  <c r="D42" i="167" s="1"/>
  <c r="I42" i="167" s="1"/>
  <c r="Y61" i="167"/>
  <c r="D61" i="167" s="1"/>
  <c r="I61" i="167" s="1"/>
  <c r="Y66" i="167"/>
  <c r="D66" i="167" s="1"/>
  <c r="I66" i="167" s="1"/>
  <c r="Y67" i="167"/>
  <c r="D67" i="167" s="1"/>
  <c r="I67" i="167" s="1"/>
  <c r="Y68" i="167"/>
  <c r="D68" i="167" s="1"/>
  <c r="I68" i="167" s="1"/>
  <c r="Y91" i="167"/>
  <c r="D91" i="167" s="1"/>
  <c r="I91" i="167" s="1"/>
  <c r="Y92" i="167"/>
  <c r="D92" i="167" s="1"/>
  <c r="I92" i="167" s="1"/>
  <c r="Y112" i="167"/>
  <c r="D112" i="167" s="1"/>
  <c r="Y145" i="167"/>
  <c r="D145" i="167" s="1"/>
  <c r="I145" i="167" s="1"/>
  <c r="Y146" i="167"/>
  <c r="D146" i="167" s="1"/>
  <c r="I146" i="167" s="1"/>
  <c r="S29" i="165" l="1"/>
  <c r="S30" i="165" s="1"/>
  <c r="S31" i="165" s="1"/>
  <c r="S32" i="165" s="1"/>
  <c r="S33" i="165" s="1"/>
  <c r="S34" i="165" s="1"/>
  <c r="S35" i="165" s="1"/>
  <c r="S36" i="165" s="1"/>
  <c r="S37" i="165" s="1"/>
  <c r="S38" i="165" s="1"/>
  <c r="S39" i="165" s="1"/>
  <c r="S15" i="165" s="1"/>
  <c r="Q28" i="165"/>
  <c r="O27" i="166"/>
  <c r="Q27" i="166" s="1"/>
  <c r="B17" i="165"/>
  <c r="I27" i="165" s="1"/>
  <c r="B18" i="167"/>
  <c r="I40" i="167"/>
  <c r="I64" i="167"/>
  <c r="I76" i="167"/>
  <c r="I112" i="167"/>
  <c r="I88" i="167"/>
  <c r="I100" i="167"/>
  <c r="I124" i="167"/>
  <c r="I52" i="167"/>
  <c r="I136" i="167"/>
  <c r="Q28" i="166"/>
  <c r="Q29" i="166" s="1"/>
  <c r="Q30" i="166" s="1"/>
  <c r="Q31" i="166" s="1"/>
  <c r="Q32" i="166" s="1"/>
  <c r="Q33" i="166" s="1"/>
  <c r="Q34" i="166" s="1"/>
  <c r="Q35" i="166" s="1"/>
  <c r="Q36" i="166" s="1"/>
  <c r="Q37" i="166" s="1"/>
  <c r="Q38" i="166" s="1"/>
  <c r="Q39" i="166" s="1"/>
  <c r="Q40" i="166" s="1"/>
  <c r="Q41" i="166" s="1"/>
  <c r="Q42" i="166" s="1"/>
  <c r="Q43" i="166" s="1"/>
  <c r="Q44" i="166" s="1"/>
  <c r="Q45" i="166" s="1"/>
  <c r="Q46" i="166" s="1"/>
  <c r="Q47" i="166" s="1"/>
  <c r="Q48" i="166" s="1"/>
  <c r="Q49" i="166" s="1"/>
  <c r="Q50" i="166" s="1"/>
  <c r="Q51" i="166" s="1"/>
  <c r="Q52" i="166" s="1"/>
  <c r="Q53" i="166" s="1"/>
  <c r="Q54" i="166" s="1"/>
  <c r="Q55" i="166" s="1"/>
  <c r="Q56" i="166" s="1"/>
  <c r="Q57" i="166" s="1"/>
  <c r="Q58" i="166" s="1"/>
  <c r="Q59" i="166" s="1"/>
  <c r="Q60" i="166" s="1"/>
  <c r="Q61" i="166" s="1"/>
  <c r="Q62" i="166" s="1"/>
  <c r="Q63" i="166" s="1"/>
  <c r="B18" i="166"/>
  <c r="B17" i="166" s="1"/>
  <c r="I27" i="166" s="1"/>
  <c r="K27" i="166" s="1"/>
  <c r="G28" i="166" s="1"/>
  <c r="R28" i="166" s="1"/>
  <c r="I64" i="166"/>
  <c r="I40" i="166"/>
  <c r="I76" i="166"/>
  <c r="I88" i="166"/>
  <c r="I100" i="166"/>
  <c r="I112" i="166"/>
  <c r="I124" i="166"/>
  <c r="I136" i="166"/>
  <c r="I52" i="166"/>
  <c r="Q29" i="165"/>
  <c r="Q30" i="165" s="1"/>
  <c r="Q31" i="165" s="1"/>
  <c r="Q32" i="165" s="1"/>
  <c r="Q33" i="165" s="1"/>
  <c r="Q34" i="165" s="1"/>
  <c r="Q35" i="165" s="1"/>
  <c r="Q36" i="165" s="1"/>
  <c r="Q37" i="165" s="1"/>
  <c r="Q38" i="165" s="1"/>
  <c r="Q39" i="165" s="1"/>
  <c r="B27" i="167"/>
  <c r="K27" i="165"/>
  <c r="G28" i="165" s="1"/>
  <c r="R28" i="165" s="1"/>
  <c r="B17" i="167"/>
  <c r="I27" i="167" s="1"/>
  <c r="K27" i="167" s="1"/>
  <c r="V159" i="6"/>
  <c r="AC39" i="162"/>
  <c r="AC41" i="162" s="1"/>
  <c r="S29" i="166"/>
  <c r="S30" i="166" s="1"/>
  <c r="S31" i="166" s="1"/>
  <c r="S32" i="166" s="1"/>
  <c r="S33" i="166" s="1"/>
  <c r="S34" i="166" s="1"/>
  <c r="S35" i="166" s="1"/>
  <c r="S36" i="166" s="1"/>
  <c r="S37" i="166" s="1"/>
  <c r="S38" i="166" s="1"/>
  <c r="S39" i="166" s="1"/>
  <c r="S29" i="167"/>
  <c r="S30" i="167" s="1"/>
  <c r="S31" i="167" s="1"/>
  <c r="S32" i="167" s="1"/>
  <c r="S33" i="167" s="1"/>
  <c r="S34" i="167" s="1"/>
  <c r="S35" i="167" s="1"/>
  <c r="S36" i="167" s="1"/>
  <c r="S37" i="167" s="1"/>
  <c r="S38" i="167" s="1"/>
  <c r="S39" i="167" s="1"/>
  <c r="S40" i="167" s="1"/>
  <c r="S41" i="167" s="1"/>
  <c r="S42" i="167" s="1"/>
  <c r="S43" i="167" s="1"/>
  <c r="S44" i="167" s="1"/>
  <c r="S45" i="167" s="1"/>
  <c r="S46" i="167" s="1"/>
  <c r="S47" i="167" s="1"/>
  <c r="S48" i="167" s="1"/>
  <c r="S49" i="167" s="1"/>
  <c r="S50" i="167" s="1"/>
  <c r="S51" i="167" s="1"/>
  <c r="S52" i="167" s="1"/>
  <c r="S53" i="167" s="1"/>
  <c r="S54" i="167" s="1"/>
  <c r="S55" i="167" s="1"/>
  <c r="S56" i="167" s="1"/>
  <c r="S57" i="167" s="1"/>
  <c r="S58" i="167" s="1"/>
  <c r="S59" i="167" s="1"/>
  <c r="S60" i="167" s="1"/>
  <c r="S61" i="167" s="1"/>
  <c r="S62" i="167" s="1"/>
  <c r="S63" i="167" s="1"/>
  <c r="Q28" i="167"/>
  <c r="Q29" i="167" s="1"/>
  <c r="Q30" i="167" s="1"/>
  <c r="Q31" i="167" s="1"/>
  <c r="Q32" i="167" s="1"/>
  <c r="Q33" i="167" s="1"/>
  <c r="Q34" i="167" s="1"/>
  <c r="Q35" i="167" s="1"/>
  <c r="Q36" i="167" s="1"/>
  <c r="Q37" i="167" s="1"/>
  <c r="Q38" i="167" s="1"/>
  <c r="Q39" i="167" s="1"/>
  <c r="S40" i="165" l="1"/>
  <c r="S41" i="165" s="1"/>
  <c r="S42" i="165" s="1"/>
  <c r="S43" i="165" s="1"/>
  <c r="S44" i="165" s="1"/>
  <c r="S45" i="165" s="1"/>
  <c r="S46" i="165" s="1"/>
  <c r="S47" i="165" s="1"/>
  <c r="S48" i="165" s="1"/>
  <c r="S49" i="165" s="1"/>
  <c r="S50" i="165" s="1"/>
  <c r="S51" i="165" s="1"/>
  <c r="S52" i="165" s="1"/>
  <c r="S53" i="165" s="1"/>
  <c r="S54" i="165" s="1"/>
  <c r="S55" i="165" s="1"/>
  <c r="S56" i="165" s="1"/>
  <c r="S57" i="165" s="1"/>
  <c r="S58" i="165" s="1"/>
  <c r="S59" i="165" s="1"/>
  <c r="S60" i="165" s="1"/>
  <c r="S61" i="165" s="1"/>
  <c r="S62" i="165" s="1"/>
  <c r="S63" i="165" s="1"/>
  <c r="S16" i="165" s="1"/>
  <c r="Q15" i="166"/>
  <c r="Q40" i="165"/>
  <c r="Q41" i="165" s="1"/>
  <c r="Q42" i="165" s="1"/>
  <c r="Q43" i="165" s="1"/>
  <c r="Q44" i="165" s="1"/>
  <c r="Q45" i="165" s="1"/>
  <c r="Q46" i="165" s="1"/>
  <c r="Q47" i="165" s="1"/>
  <c r="Q48" i="165" s="1"/>
  <c r="Q49" i="165" s="1"/>
  <c r="Q50" i="165" s="1"/>
  <c r="Q51" i="165" s="1"/>
  <c r="Q52" i="165" s="1"/>
  <c r="Q53" i="165" s="1"/>
  <c r="Q54" i="165" s="1"/>
  <c r="Q55" i="165" s="1"/>
  <c r="Q56" i="165" s="1"/>
  <c r="Q57" i="165" s="1"/>
  <c r="Q58" i="165" s="1"/>
  <c r="Q59" i="165" s="1"/>
  <c r="Q60" i="165" s="1"/>
  <c r="Q61" i="165" s="1"/>
  <c r="Q62" i="165" s="1"/>
  <c r="Q63" i="165" s="1"/>
  <c r="Q16" i="165" s="1"/>
  <c r="E59" i="162" s="1"/>
  <c r="Q15" i="165"/>
  <c r="E58" i="162" s="1"/>
  <c r="G28" i="167"/>
  <c r="R28" i="167" s="1"/>
  <c r="L27" i="167"/>
  <c r="C28" i="167" s="1"/>
  <c r="E26" i="167" s="1"/>
  <c r="L27" i="165"/>
  <c r="B13" i="165"/>
  <c r="B13" i="166"/>
  <c r="B13" i="167"/>
  <c r="S15" i="166"/>
  <c r="S40" i="166"/>
  <c r="S41" i="166" s="1"/>
  <c r="S42" i="166" s="1"/>
  <c r="S43" i="166" s="1"/>
  <c r="S44" i="166" s="1"/>
  <c r="S45" i="166" s="1"/>
  <c r="S46" i="166" s="1"/>
  <c r="S47" i="166" s="1"/>
  <c r="S48" i="166" s="1"/>
  <c r="S49" i="166" s="1"/>
  <c r="S50" i="166" s="1"/>
  <c r="S51" i="166" s="1"/>
  <c r="S52" i="166" s="1"/>
  <c r="S53" i="166" s="1"/>
  <c r="S54" i="166" s="1"/>
  <c r="S55" i="166" s="1"/>
  <c r="S56" i="166" s="1"/>
  <c r="S57" i="166" s="1"/>
  <c r="S58" i="166" s="1"/>
  <c r="S59" i="166" s="1"/>
  <c r="S60" i="166" s="1"/>
  <c r="S61" i="166" s="1"/>
  <c r="S62" i="166" s="1"/>
  <c r="S63" i="166" s="1"/>
  <c r="S16" i="166" s="1"/>
  <c r="S15" i="167"/>
  <c r="L27" i="166"/>
  <c r="Q40" i="167"/>
  <c r="Q41" i="167" s="1"/>
  <c r="Q42" i="167" s="1"/>
  <c r="Q43" i="167" s="1"/>
  <c r="Q44" i="167" s="1"/>
  <c r="Q45" i="167" s="1"/>
  <c r="Q46" i="167" s="1"/>
  <c r="Q47" i="167" s="1"/>
  <c r="Q48" i="167" s="1"/>
  <c r="Q49" i="167" s="1"/>
  <c r="Q50" i="167" s="1"/>
  <c r="Q51" i="167" s="1"/>
  <c r="Q52" i="167" s="1"/>
  <c r="Q53" i="167" s="1"/>
  <c r="Q54" i="167" s="1"/>
  <c r="Q55" i="167" s="1"/>
  <c r="Q56" i="167" s="1"/>
  <c r="Q57" i="167" s="1"/>
  <c r="Q58" i="167" s="1"/>
  <c r="Q59" i="167" s="1"/>
  <c r="Q60" i="167" s="1"/>
  <c r="Q61" i="167" s="1"/>
  <c r="Q62" i="167" s="1"/>
  <c r="Q63" i="167" s="1"/>
  <c r="Q15" i="167"/>
  <c r="Q64" i="166"/>
  <c r="Q65" i="166" s="1"/>
  <c r="Q66" i="166" s="1"/>
  <c r="Q67" i="166" s="1"/>
  <c r="Q68" i="166" s="1"/>
  <c r="Q69" i="166" s="1"/>
  <c r="Q70" i="166" s="1"/>
  <c r="Q71" i="166" s="1"/>
  <c r="Q72" i="166" s="1"/>
  <c r="Q73" i="166" s="1"/>
  <c r="Q74" i="166" s="1"/>
  <c r="Q75" i="166" s="1"/>
  <c r="Q76" i="166" s="1"/>
  <c r="Q77" i="166" s="1"/>
  <c r="Q78" i="166" s="1"/>
  <c r="Q79" i="166" s="1"/>
  <c r="Q80" i="166" s="1"/>
  <c r="Q81" i="166" s="1"/>
  <c r="Q82" i="166" s="1"/>
  <c r="Q83" i="166" s="1"/>
  <c r="Q84" i="166" s="1"/>
  <c r="Q85" i="166" s="1"/>
  <c r="Q86" i="166" s="1"/>
  <c r="Q87" i="166" s="1"/>
  <c r="Q16" i="166"/>
  <c r="S16" i="167"/>
  <c r="S64" i="167"/>
  <c r="S65" i="167" s="1"/>
  <c r="S66" i="167" s="1"/>
  <c r="S67" i="167" s="1"/>
  <c r="S68" i="167" s="1"/>
  <c r="S69" i="167" s="1"/>
  <c r="S70" i="167" s="1"/>
  <c r="S71" i="167" s="1"/>
  <c r="S72" i="167" s="1"/>
  <c r="S73" i="167" s="1"/>
  <c r="S74" i="167" s="1"/>
  <c r="S75" i="167" s="1"/>
  <c r="S76" i="167" s="1"/>
  <c r="S77" i="167" s="1"/>
  <c r="S78" i="167" s="1"/>
  <c r="S79" i="167" s="1"/>
  <c r="S80" i="167" s="1"/>
  <c r="S81" i="167" s="1"/>
  <c r="S82" i="167" s="1"/>
  <c r="S83" i="167" s="1"/>
  <c r="S84" i="167" s="1"/>
  <c r="S85" i="167" s="1"/>
  <c r="S86" i="167" s="1"/>
  <c r="S87" i="167" s="1"/>
  <c r="S64" i="165" l="1"/>
  <c r="S65" i="165" s="1"/>
  <c r="S66" i="165" s="1"/>
  <c r="S67" i="165" s="1"/>
  <c r="S68" i="165" s="1"/>
  <c r="S69" i="165" s="1"/>
  <c r="S70" i="165" s="1"/>
  <c r="S71" i="165" s="1"/>
  <c r="S72" i="165" s="1"/>
  <c r="S73" i="165" s="1"/>
  <c r="S74" i="165" s="1"/>
  <c r="S75" i="165" s="1"/>
  <c r="S76" i="165" s="1"/>
  <c r="S77" i="165" s="1"/>
  <c r="S78" i="165" s="1"/>
  <c r="S79" i="165" s="1"/>
  <c r="S80" i="165" s="1"/>
  <c r="S81" i="165" s="1"/>
  <c r="S82" i="165" s="1"/>
  <c r="S83" i="165" s="1"/>
  <c r="S84" i="165" s="1"/>
  <c r="S85" i="165" s="1"/>
  <c r="S86" i="165" s="1"/>
  <c r="S87" i="165" s="1"/>
  <c r="S17" i="165" s="1"/>
  <c r="Q64" i="165"/>
  <c r="Q65" i="165" s="1"/>
  <c r="Q66" i="165" s="1"/>
  <c r="Q67" i="165" s="1"/>
  <c r="Q68" i="165" s="1"/>
  <c r="Q69" i="165" s="1"/>
  <c r="Q70" i="165" s="1"/>
  <c r="Q71" i="165" s="1"/>
  <c r="Q72" i="165" s="1"/>
  <c r="Q73" i="165" s="1"/>
  <c r="Q74" i="165" s="1"/>
  <c r="Q75" i="165" s="1"/>
  <c r="Q76" i="165" s="1"/>
  <c r="Q77" i="165" s="1"/>
  <c r="Q78" i="165" s="1"/>
  <c r="Q79" i="165" s="1"/>
  <c r="Q80" i="165" s="1"/>
  <c r="Q81" i="165" s="1"/>
  <c r="Q82" i="165" s="1"/>
  <c r="Q83" i="165" s="1"/>
  <c r="Q84" i="165" s="1"/>
  <c r="Q85" i="165" s="1"/>
  <c r="Q86" i="165" s="1"/>
  <c r="Q87" i="165" s="1"/>
  <c r="Q17" i="165" s="1"/>
  <c r="E60" i="162" s="1"/>
  <c r="F28" i="167"/>
  <c r="E28" i="167" s="1"/>
  <c r="N27" i="167"/>
  <c r="P27" i="167" s="1"/>
  <c r="S64" i="166"/>
  <c r="S65" i="166" s="1"/>
  <c r="S66" i="166" s="1"/>
  <c r="S67" i="166" s="1"/>
  <c r="S68" i="166" s="1"/>
  <c r="S69" i="166" s="1"/>
  <c r="S70" i="166" s="1"/>
  <c r="S71" i="166" s="1"/>
  <c r="S72" i="166" s="1"/>
  <c r="S73" i="166" s="1"/>
  <c r="S74" i="166" s="1"/>
  <c r="S75" i="166" s="1"/>
  <c r="S76" i="166" s="1"/>
  <c r="S77" i="166" s="1"/>
  <c r="S78" i="166" s="1"/>
  <c r="S79" i="166" s="1"/>
  <c r="S80" i="166" s="1"/>
  <c r="S81" i="166" s="1"/>
  <c r="S82" i="166" s="1"/>
  <c r="S83" i="166" s="1"/>
  <c r="S84" i="166" s="1"/>
  <c r="S85" i="166" s="1"/>
  <c r="S86" i="166" s="1"/>
  <c r="S87" i="166" s="1"/>
  <c r="S88" i="166" s="1"/>
  <c r="S89" i="166" s="1"/>
  <c r="S90" i="166" s="1"/>
  <c r="S91" i="166" s="1"/>
  <c r="S92" i="166" s="1"/>
  <c r="S93" i="166" s="1"/>
  <c r="S94" i="166" s="1"/>
  <c r="S95" i="166" s="1"/>
  <c r="S96" i="166" s="1"/>
  <c r="S97" i="166" s="1"/>
  <c r="S98" i="166" s="1"/>
  <c r="S99" i="166" s="1"/>
  <c r="S100" i="166" s="1"/>
  <c r="S101" i="166" s="1"/>
  <c r="S102" i="166" s="1"/>
  <c r="S103" i="166" s="1"/>
  <c r="S104" i="166" s="1"/>
  <c r="S105" i="166" s="1"/>
  <c r="S106" i="166" s="1"/>
  <c r="S107" i="166" s="1"/>
  <c r="S108" i="166" s="1"/>
  <c r="S109" i="166" s="1"/>
  <c r="S110" i="166" s="1"/>
  <c r="S111" i="166" s="1"/>
  <c r="S112" i="166" s="1"/>
  <c r="S113" i="166" s="1"/>
  <c r="S114" i="166" s="1"/>
  <c r="S115" i="166" s="1"/>
  <c r="S116" i="166" s="1"/>
  <c r="S117" i="166" s="1"/>
  <c r="S118" i="166" s="1"/>
  <c r="S119" i="166" s="1"/>
  <c r="S120" i="166" s="1"/>
  <c r="S121" i="166" s="1"/>
  <c r="S122" i="166" s="1"/>
  <c r="S123" i="166" s="1"/>
  <c r="S124" i="166" s="1"/>
  <c r="S125" i="166" s="1"/>
  <c r="S126" i="166" s="1"/>
  <c r="S127" i="166" s="1"/>
  <c r="S128" i="166" s="1"/>
  <c r="S129" i="166" s="1"/>
  <c r="S130" i="166" s="1"/>
  <c r="S131" i="166" s="1"/>
  <c r="S132" i="166" s="1"/>
  <c r="S133" i="166" s="1"/>
  <c r="S134" i="166" s="1"/>
  <c r="S135" i="166" s="1"/>
  <c r="S136" i="166" s="1"/>
  <c r="S137" i="166" s="1"/>
  <c r="S138" i="166" s="1"/>
  <c r="S139" i="166" s="1"/>
  <c r="S140" i="166" s="1"/>
  <c r="S141" i="166" s="1"/>
  <c r="S142" i="166" s="1"/>
  <c r="S143" i="166" s="1"/>
  <c r="S144" i="166" s="1"/>
  <c r="S145" i="166" s="1"/>
  <c r="S146" i="166" s="1"/>
  <c r="S147" i="166" s="1"/>
  <c r="S18" i="166" s="1"/>
  <c r="C28" i="165"/>
  <c r="N27" i="165"/>
  <c r="P27" i="165" s="1"/>
  <c r="G4" i="167"/>
  <c r="H4" i="167" s="1"/>
  <c r="I4" i="167" s="1"/>
  <c r="G6" i="167"/>
  <c r="H6" i="167" s="1"/>
  <c r="I6" i="167" s="1"/>
  <c r="G5" i="167"/>
  <c r="H5" i="167" s="1"/>
  <c r="I5" i="167" s="1"/>
  <c r="G7" i="167"/>
  <c r="H7" i="167" s="1"/>
  <c r="I7" i="167" s="1"/>
  <c r="G3" i="167"/>
  <c r="H3" i="167" s="1"/>
  <c r="I3" i="167" s="1"/>
  <c r="J3" i="167" s="1"/>
  <c r="G6" i="166"/>
  <c r="H6" i="166" s="1"/>
  <c r="I6" i="166" s="1"/>
  <c r="G3" i="166"/>
  <c r="H3" i="166" s="1"/>
  <c r="I3" i="166" s="1"/>
  <c r="J3" i="166" s="1"/>
  <c r="G5" i="166"/>
  <c r="H5" i="166" s="1"/>
  <c r="I5" i="166" s="1"/>
  <c r="G7" i="166"/>
  <c r="H7" i="166" s="1"/>
  <c r="I7" i="166" s="1"/>
  <c r="G4" i="166"/>
  <c r="H4" i="166" s="1"/>
  <c r="I4" i="166" s="1"/>
  <c r="G4" i="165"/>
  <c r="H4" i="165" s="1"/>
  <c r="I4" i="165" s="1"/>
  <c r="G5" i="165"/>
  <c r="H5" i="165" s="1"/>
  <c r="I5" i="165" s="1"/>
  <c r="G3" i="165"/>
  <c r="H3" i="165" s="1"/>
  <c r="I3" i="165" s="1"/>
  <c r="J3" i="165" s="1"/>
  <c r="G6" i="165"/>
  <c r="H6" i="165" s="1"/>
  <c r="I6" i="165" s="1"/>
  <c r="G7" i="165"/>
  <c r="H7" i="165" s="1"/>
  <c r="I7" i="165" s="1"/>
  <c r="N27" i="166"/>
  <c r="P27" i="166" s="1"/>
  <c r="C28" i="166"/>
  <c r="Q64" i="167"/>
  <c r="Q65" i="167" s="1"/>
  <c r="Q66" i="167" s="1"/>
  <c r="Q67" i="167" s="1"/>
  <c r="Q68" i="167" s="1"/>
  <c r="Q69" i="167" s="1"/>
  <c r="Q70" i="167" s="1"/>
  <c r="Q71" i="167" s="1"/>
  <c r="Q72" i="167" s="1"/>
  <c r="Q73" i="167" s="1"/>
  <c r="Q74" i="167" s="1"/>
  <c r="Q75" i="167" s="1"/>
  <c r="Q76" i="167" s="1"/>
  <c r="Q77" i="167" s="1"/>
  <c r="Q78" i="167" s="1"/>
  <c r="Q79" i="167" s="1"/>
  <c r="Q80" i="167" s="1"/>
  <c r="Q81" i="167" s="1"/>
  <c r="Q82" i="167" s="1"/>
  <c r="Q83" i="167" s="1"/>
  <c r="Q84" i="167" s="1"/>
  <c r="Q85" i="167" s="1"/>
  <c r="Q86" i="167" s="1"/>
  <c r="Q87" i="167" s="1"/>
  <c r="Q16" i="167"/>
  <c r="Q88" i="166"/>
  <c r="Q89" i="166" s="1"/>
  <c r="Q90" i="166" s="1"/>
  <c r="Q91" i="166" s="1"/>
  <c r="Q92" i="166" s="1"/>
  <c r="Q93" i="166" s="1"/>
  <c r="Q94" i="166" s="1"/>
  <c r="Q95" i="166" s="1"/>
  <c r="Q96" i="166" s="1"/>
  <c r="Q97" i="166" s="1"/>
  <c r="Q98" i="166" s="1"/>
  <c r="Q99" i="166" s="1"/>
  <c r="Q100" i="166" s="1"/>
  <c r="Q101" i="166" s="1"/>
  <c r="Q102" i="166" s="1"/>
  <c r="Q103" i="166" s="1"/>
  <c r="Q104" i="166" s="1"/>
  <c r="Q105" i="166" s="1"/>
  <c r="Q106" i="166" s="1"/>
  <c r="Q107" i="166" s="1"/>
  <c r="Q108" i="166" s="1"/>
  <c r="Q109" i="166" s="1"/>
  <c r="Q110" i="166" s="1"/>
  <c r="Q111" i="166" s="1"/>
  <c r="Q112" i="166" s="1"/>
  <c r="Q113" i="166" s="1"/>
  <c r="Q114" i="166" s="1"/>
  <c r="Q115" i="166" s="1"/>
  <c r="Q116" i="166" s="1"/>
  <c r="Q117" i="166" s="1"/>
  <c r="Q118" i="166" s="1"/>
  <c r="Q119" i="166" s="1"/>
  <c r="Q120" i="166" s="1"/>
  <c r="Q121" i="166" s="1"/>
  <c r="Q122" i="166" s="1"/>
  <c r="Q123" i="166" s="1"/>
  <c r="Q124" i="166" s="1"/>
  <c r="Q125" i="166" s="1"/>
  <c r="Q126" i="166" s="1"/>
  <c r="Q127" i="166" s="1"/>
  <c r="Q128" i="166" s="1"/>
  <c r="Q129" i="166" s="1"/>
  <c r="Q130" i="166" s="1"/>
  <c r="Q131" i="166" s="1"/>
  <c r="Q132" i="166" s="1"/>
  <c r="Q133" i="166" s="1"/>
  <c r="Q134" i="166" s="1"/>
  <c r="Q135" i="166" s="1"/>
  <c r="Q136" i="166" s="1"/>
  <c r="Q137" i="166" s="1"/>
  <c r="Q138" i="166" s="1"/>
  <c r="Q139" i="166" s="1"/>
  <c r="Q140" i="166" s="1"/>
  <c r="Q141" i="166" s="1"/>
  <c r="Q142" i="166" s="1"/>
  <c r="Q143" i="166" s="1"/>
  <c r="Q144" i="166" s="1"/>
  <c r="Q145" i="166" s="1"/>
  <c r="Q146" i="166" s="1"/>
  <c r="Q147" i="166" s="1"/>
  <c r="Q18" i="166" s="1"/>
  <c r="Q17" i="166"/>
  <c r="S17" i="167"/>
  <c r="S88" i="167"/>
  <c r="S89" i="167" s="1"/>
  <c r="S90" i="167" s="1"/>
  <c r="S91" i="167" s="1"/>
  <c r="S92" i="167" s="1"/>
  <c r="S93" i="167" s="1"/>
  <c r="S94" i="167" s="1"/>
  <c r="S95" i="167" s="1"/>
  <c r="S96" i="167" s="1"/>
  <c r="S97" i="167" s="1"/>
  <c r="S98" i="167" s="1"/>
  <c r="S99" i="167" s="1"/>
  <c r="S100" i="167" s="1"/>
  <c r="S101" i="167" s="1"/>
  <c r="S102" i="167" s="1"/>
  <c r="S103" i="167" s="1"/>
  <c r="S104" i="167" s="1"/>
  <c r="S105" i="167" s="1"/>
  <c r="S106" i="167" s="1"/>
  <c r="S107" i="167" s="1"/>
  <c r="S108" i="167" s="1"/>
  <c r="S109" i="167" s="1"/>
  <c r="S110" i="167" s="1"/>
  <c r="S111" i="167" s="1"/>
  <c r="S112" i="167" s="1"/>
  <c r="S113" i="167" s="1"/>
  <c r="S114" i="167" s="1"/>
  <c r="S115" i="167" s="1"/>
  <c r="S116" i="167" s="1"/>
  <c r="S117" i="167" s="1"/>
  <c r="S118" i="167" s="1"/>
  <c r="S119" i="167" s="1"/>
  <c r="S120" i="167" s="1"/>
  <c r="S121" i="167" s="1"/>
  <c r="S122" i="167" s="1"/>
  <c r="S123" i="167" s="1"/>
  <c r="S124" i="167" s="1"/>
  <c r="S125" i="167" s="1"/>
  <c r="S126" i="167" s="1"/>
  <c r="S127" i="167" s="1"/>
  <c r="S128" i="167" s="1"/>
  <c r="S129" i="167" s="1"/>
  <c r="S130" i="167" s="1"/>
  <c r="S131" i="167" s="1"/>
  <c r="S132" i="167" s="1"/>
  <c r="S133" i="167" s="1"/>
  <c r="S134" i="167" s="1"/>
  <c r="S135" i="167" s="1"/>
  <c r="S136" i="167" s="1"/>
  <c r="S137" i="167" s="1"/>
  <c r="S138" i="167" s="1"/>
  <c r="S139" i="167" s="1"/>
  <c r="S140" i="167" s="1"/>
  <c r="S141" i="167" s="1"/>
  <c r="S142" i="167" s="1"/>
  <c r="S143" i="167" s="1"/>
  <c r="S144" i="167" s="1"/>
  <c r="S145" i="167" s="1"/>
  <c r="S146" i="167" s="1"/>
  <c r="S147" i="167" s="1"/>
  <c r="S18" i="167" s="1"/>
  <c r="S88" i="165" l="1"/>
  <c r="S89" i="165" s="1"/>
  <c r="S90" i="165" s="1"/>
  <c r="S91" i="165" s="1"/>
  <c r="S92" i="165" s="1"/>
  <c r="S93" i="165" s="1"/>
  <c r="S94" i="165" s="1"/>
  <c r="S95" i="165" s="1"/>
  <c r="S96" i="165" s="1"/>
  <c r="S97" i="165" s="1"/>
  <c r="S98" i="165" s="1"/>
  <c r="S99" i="165" s="1"/>
  <c r="S100" i="165" s="1"/>
  <c r="S101" i="165" s="1"/>
  <c r="S102" i="165" s="1"/>
  <c r="S103" i="165" s="1"/>
  <c r="S104" i="165" s="1"/>
  <c r="S105" i="165" s="1"/>
  <c r="S106" i="165" s="1"/>
  <c r="S107" i="165" s="1"/>
  <c r="S108" i="165" s="1"/>
  <c r="S109" i="165" s="1"/>
  <c r="S110" i="165" s="1"/>
  <c r="S111" i="165" s="1"/>
  <c r="S112" i="165" s="1"/>
  <c r="S113" i="165" s="1"/>
  <c r="S114" i="165" s="1"/>
  <c r="S115" i="165" s="1"/>
  <c r="S116" i="165" s="1"/>
  <c r="S117" i="165" s="1"/>
  <c r="S118" i="165" s="1"/>
  <c r="S119" i="165" s="1"/>
  <c r="S120" i="165" s="1"/>
  <c r="S121" i="165" s="1"/>
  <c r="S122" i="165" s="1"/>
  <c r="S123" i="165" s="1"/>
  <c r="S124" i="165" s="1"/>
  <c r="S125" i="165" s="1"/>
  <c r="S126" i="165" s="1"/>
  <c r="S127" i="165" s="1"/>
  <c r="S128" i="165" s="1"/>
  <c r="S129" i="165" s="1"/>
  <c r="S130" i="165" s="1"/>
  <c r="S131" i="165" s="1"/>
  <c r="S132" i="165" s="1"/>
  <c r="S133" i="165" s="1"/>
  <c r="S134" i="165" s="1"/>
  <c r="S135" i="165" s="1"/>
  <c r="S136" i="165" s="1"/>
  <c r="S137" i="165" s="1"/>
  <c r="S138" i="165" s="1"/>
  <c r="S139" i="165" s="1"/>
  <c r="S140" i="165" s="1"/>
  <c r="S141" i="165" s="1"/>
  <c r="S142" i="165" s="1"/>
  <c r="S143" i="165" s="1"/>
  <c r="S144" i="165" s="1"/>
  <c r="S145" i="165" s="1"/>
  <c r="S146" i="165" s="1"/>
  <c r="S147" i="165" s="1"/>
  <c r="S18" i="165" s="1"/>
  <c r="Q88" i="165"/>
  <c r="Q89" i="165" s="1"/>
  <c r="Q90" i="165" s="1"/>
  <c r="Q91" i="165" s="1"/>
  <c r="Q92" i="165" s="1"/>
  <c r="Q93" i="165" s="1"/>
  <c r="Q94" i="165" s="1"/>
  <c r="Q95" i="165" s="1"/>
  <c r="Q96" i="165" s="1"/>
  <c r="Q97" i="165" s="1"/>
  <c r="Q98" i="165" s="1"/>
  <c r="Q99" i="165" s="1"/>
  <c r="Q100" i="165" s="1"/>
  <c r="Q101" i="165" s="1"/>
  <c r="Q102" i="165" s="1"/>
  <c r="Q103" i="165" s="1"/>
  <c r="Q104" i="165" s="1"/>
  <c r="Q105" i="165" s="1"/>
  <c r="Q106" i="165" s="1"/>
  <c r="Q107" i="165" s="1"/>
  <c r="Q108" i="165" s="1"/>
  <c r="Q109" i="165" s="1"/>
  <c r="Q110" i="165" s="1"/>
  <c r="Q111" i="165" s="1"/>
  <c r="Q112" i="165" s="1"/>
  <c r="Q113" i="165" s="1"/>
  <c r="Q114" i="165" s="1"/>
  <c r="Q115" i="165" s="1"/>
  <c r="Q116" i="165" s="1"/>
  <c r="Q117" i="165" s="1"/>
  <c r="Q118" i="165" s="1"/>
  <c r="Q119" i="165" s="1"/>
  <c r="Q120" i="165" s="1"/>
  <c r="Q121" i="165" s="1"/>
  <c r="Q122" i="165" s="1"/>
  <c r="Q123" i="165" s="1"/>
  <c r="Q124" i="165" s="1"/>
  <c r="Q125" i="165" s="1"/>
  <c r="Q126" i="165" s="1"/>
  <c r="Q127" i="165" s="1"/>
  <c r="Q128" i="165" s="1"/>
  <c r="Q129" i="165" s="1"/>
  <c r="Q130" i="165" s="1"/>
  <c r="Q131" i="165" s="1"/>
  <c r="Q132" i="165" s="1"/>
  <c r="Q133" i="165" s="1"/>
  <c r="Q134" i="165" s="1"/>
  <c r="Q135" i="165" s="1"/>
  <c r="Q136" i="165" s="1"/>
  <c r="Q137" i="165" s="1"/>
  <c r="Q138" i="165" s="1"/>
  <c r="Q139" i="165" s="1"/>
  <c r="Q140" i="165" s="1"/>
  <c r="Q141" i="165" s="1"/>
  <c r="Q142" i="165" s="1"/>
  <c r="Q143" i="165" s="1"/>
  <c r="Q144" i="165" s="1"/>
  <c r="Q145" i="165" s="1"/>
  <c r="Q146" i="165" s="1"/>
  <c r="Q147" i="165" s="1"/>
  <c r="Q18" i="165" s="1"/>
  <c r="E61" i="162" s="1"/>
  <c r="S17" i="166"/>
  <c r="E26" i="165"/>
  <c r="F28" i="165"/>
  <c r="E28" i="165" s="1"/>
  <c r="J4" i="165"/>
  <c r="J5" i="165" s="1"/>
  <c r="J6" i="165" s="1"/>
  <c r="J7" i="165" s="1"/>
  <c r="J8" i="165" s="1"/>
  <c r="J4" i="166"/>
  <c r="J5" i="166" s="1"/>
  <c r="J6" i="166" s="1"/>
  <c r="J7" i="166" s="1"/>
  <c r="J8" i="166" s="1"/>
  <c r="J4" i="167"/>
  <c r="J5" i="167" s="1"/>
  <c r="J6" i="167" s="1"/>
  <c r="J7" i="167" s="1"/>
  <c r="J8" i="167" s="1"/>
  <c r="E26" i="166"/>
  <c r="F28" i="166"/>
  <c r="E28" i="166" s="1"/>
  <c r="Q88" i="167"/>
  <c r="Q89" i="167" s="1"/>
  <c r="Q90" i="167" s="1"/>
  <c r="Q91" i="167" s="1"/>
  <c r="Q92" i="167" s="1"/>
  <c r="Q93" i="167" s="1"/>
  <c r="Q94" i="167" s="1"/>
  <c r="Q95" i="167" s="1"/>
  <c r="Q96" i="167" s="1"/>
  <c r="Q97" i="167" s="1"/>
  <c r="Q98" i="167" s="1"/>
  <c r="Q99" i="167" s="1"/>
  <c r="Q100" i="167" s="1"/>
  <c r="Q101" i="167" s="1"/>
  <c r="Q102" i="167" s="1"/>
  <c r="Q103" i="167" s="1"/>
  <c r="Q104" i="167" s="1"/>
  <c r="Q105" i="167" s="1"/>
  <c r="Q106" i="167" s="1"/>
  <c r="Q107" i="167" s="1"/>
  <c r="Q108" i="167" s="1"/>
  <c r="Q109" i="167" s="1"/>
  <c r="Q110" i="167" s="1"/>
  <c r="Q111" i="167" s="1"/>
  <c r="Q112" i="167" s="1"/>
  <c r="Q113" i="167" s="1"/>
  <c r="Q114" i="167" s="1"/>
  <c r="Q115" i="167" s="1"/>
  <c r="Q116" i="167" s="1"/>
  <c r="Q117" i="167" s="1"/>
  <c r="Q118" i="167" s="1"/>
  <c r="Q119" i="167" s="1"/>
  <c r="Q120" i="167" s="1"/>
  <c r="Q121" i="167" s="1"/>
  <c r="Q122" i="167" s="1"/>
  <c r="Q123" i="167" s="1"/>
  <c r="Q124" i="167" s="1"/>
  <c r="Q125" i="167" s="1"/>
  <c r="Q126" i="167" s="1"/>
  <c r="Q127" i="167" s="1"/>
  <c r="Q128" i="167" s="1"/>
  <c r="Q129" i="167" s="1"/>
  <c r="Q130" i="167" s="1"/>
  <c r="Q131" i="167" s="1"/>
  <c r="Q132" i="167" s="1"/>
  <c r="Q133" i="167" s="1"/>
  <c r="Q134" i="167" s="1"/>
  <c r="Q135" i="167" s="1"/>
  <c r="Q136" i="167" s="1"/>
  <c r="Q137" i="167" s="1"/>
  <c r="Q138" i="167" s="1"/>
  <c r="Q139" i="167" s="1"/>
  <c r="Q140" i="167" s="1"/>
  <c r="Q141" i="167" s="1"/>
  <c r="Q142" i="167" s="1"/>
  <c r="Q143" i="167" s="1"/>
  <c r="Q144" i="167" s="1"/>
  <c r="Q145" i="167" s="1"/>
  <c r="Q146" i="167" s="1"/>
  <c r="Q147" i="167" s="1"/>
  <c r="Q18" i="167" s="1"/>
  <c r="Q17" i="167"/>
  <c r="J28" i="166" l="1"/>
  <c r="N28" i="166" s="1"/>
  <c r="P28" i="166" s="1"/>
  <c r="J28" i="165"/>
  <c r="N28" i="165" s="1"/>
  <c r="P28" i="165" s="1"/>
  <c r="J28" i="167"/>
  <c r="K28" i="166" l="1"/>
  <c r="B28" i="166" s="1"/>
  <c r="K28" i="165"/>
  <c r="L28" i="165" s="1"/>
  <c r="C29" i="165" s="1"/>
  <c r="F29" i="165" s="1"/>
  <c r="E29" i="165" s="1"/>
  <c r="N28" i="167"/>
  <c r="P28" i="167" s="1"/>
  <c r="K28" i="167"/>
  <c r="L28" i="167" s="1"/>
  <c r="L28" i="166" l="1"/>
  <c r="T28" i="166" s="1"/>
  <c r="M28" i="166"/>
  <c r="O28" i="166" s="1"/>
  <c r="G29" i="166"/>
  <c r="R29" i="166" s="1"/>
  <c r="T28" i="165"/>
  <c r="B28" i="165"/>
  <c r="G29" i="165"/>
  <c r="R29" i="165" s="1"/>
  <c r="M28" i="165"/>
  <c r="O28" i="165" s="1"/>
  <c r="J29" i="165"/>
  <c r="T28" i="167"/>
  <c r="C29" i="167"/>
  <c r="G29" i="167"/>
  <c r="R29" i="167" s="1"/>
  <c r="B28" i="167"/>
  <c r="M28" i="167"/>
  <c r="O28" i="167" s="1"/>
  <c r="C29" i="166" l="1"/>
  <c r="J29" i="166" s="1"/>
  <c r="K29" i="165"/>
  <c r="M29" i="165" s="1"/>
  <c r="O29" i="165" s="1"/>
  <c r="N29" i="165"/>
  <c r="P29" i="165" s="1"/>
  <c r="J29" i="167"/>
  <c r="F29" i="167"/>
  <c r="E29" i="167" s="1"/>
  <c r="F29" i="166" l="1"/>
  <c r="E29" i="166" s="1"/>
  <c r="K29" i="166" s="1"/>
  <c r="B29" i="165"/>
  <c r="G30" i="165"/>
  <c r="R30" i="165" s="1"/>
  <c r="L29" i="165"/>
  <c r="T29" i="165" s="1"/>
  <c r="K29" i="167"/>
  <c r="N29" i="167"/>
  <c r="P29" i="167" s="1"/>
  <c r="N29" i="166"/>
  <c r="P29" i="166" s="1"/>
  <c r="C30" i="165" l="1"/>
  <c r="J30" i="165" s="1"/>
  <c r="M29" i="167"/>
  <c r="O29" i="167" s="1"/>
  <c r="B29" i="167"/>
  <c r="L29" i="167"/>
  <c r="G30" i="167"/>
  <c r="R30" i="167" s="1"/>
  <c r="G30" i="166"/>
  <c r="R30" i="166" s="1"/>
  <c r="B29" i="166"/>
  <c r="M29" i="166"/>
  <c r="O29" i="166" s="1"/>
  <c r="L29" i="166"/>
  <c r="F30" i="165" l="1"/>
  <c r="E30" i="165" s="1"/>
  <c r="K30" i="165" s="1"/>
  <c r="T29" i="167"/>
  <c r="C30" i="167"/>
  <c r="T29" i="166"/>
  <c r="C30" i="166"/>
  <c r="N30" i="165"/>
  <c r="P30" i="165" s="1"/>
  <c r="J30" i="167" l="1"/>
  <c r="F30" i="167"/>
  <c r="E30" i="167" s="1"/>
  <c r="F30" i="166"/>
  <c r="E30" i="166" s="1"/>
  <c r="J30" i="166"/>
  <c r="M30" i="165"/>
  <c r="O30" i="165" s="1"/>
  <c r="G31" i="165"/>
  <c r="B30" i="165"/>
  <c r="L30" i="165"/>
  <c r="K30" i="167" l="1"/>
  <c r="N30" i="167"/>
  <c r="P30" i="167" s="1"/>
  <c r="K30" i="166"/>
  <c r="L30" i="166" s="1"/>
  <c r="N30" i="166"/>
  <c r="P30" i="166" s="1"/>
  <c r="T30" i="165"/>
  <c r="C31" i="165"/>
  <c r="R31" i="165"/>
  <c r="L30" i="167" l="1"/>
  <c r="M30" i="167"/>
  <c r="O30" i="167" s="1"/>
  <c r="G31" i="167"/>
  <c r="R31" i="167" s="1"/>
  <c r="B30" i="167"/>
  <c r="T30" i="166"/>
  <c r="C31" i="166"/>
  <c r="F31" i="166" s="1"/>
  <c r="E31" i="166" s="1"/>
  <c r="G31" i="166"/>
  <c r="R31" i="166" s="1"/>
  <c r="M30" i="166"/>
  <c r="O30" i="166" s="1"/>
  <c r="B30" i="166"/>
  <c r="J31" i="165"/>
  <c r="F31" i="165"/>
  <c r="E31" i="165" s="1"/>
  <c r="J31" i="166" l="1"/>
  <c r="K31" i="166" s="1"/>
  <c r="C31" i="167"/>
  <c r="T30" i="167"/>
  <c r="K31" i="165"/>
  <c r="N31" i="165"/>
  <c r="P31" i="165" s="1"/>
  <c r="N31" i="166" l="1"/>
  <c r="P31" i="166" s="1"/>
  <c r="F31" i="167"/>
  <c r="E31" i="167" s="1"/>
  <c r="J31" i="167"/>
  <c r="B31" i="165"/>
  <c r="L31" i="165"/>
  <c r="M31" i="165"/>
  <c r="O31" i="165" s="1"/>
  <c r="G32" i="165"/>
  <c r="G32" i="166"/>
  <c r="R32" i="166" s="1"/>
  <c r="L31" i="166"/>
  <c r="M31" i="166"/>
  <c r="O31" i="166" s="1"/>
  <c r="B31" i="166"/>
  <c r="K31" i="167" l="1"/>
  <c r="N31" i="167"/>
  <c r="P31" i="167" s="1"/>
  <c r="C32" i="165"/>
  <c r="T31" i="165"/>
  <c r="R32" i="165"/>
  <c r="C32" i="166"/>
  <c r="T31" i="166"/>
  <c r="M31" i="167" l="1"/>
  <c r="O31" i="167" s="1"/>
  <c r="L31" i="167"/>
  <c r="B31" i="167"/>
  <c r="G32" i="167"/>
  <c r="R32" i="167" s="1"/>
  <c r="J32" i="166"/>
  <c r="F32" i="166"/>
  <c r="E32" i="166" s="1"/>
  <c r="F32" i="165"/>
  <c r="E32" i="165" s="1"/>
  <c r="J32" i="165"/>
  <c r="C32" i="167" l="1"/>
  <c r="T31" i="167"/>
  <c r="N32" i="166"/>
  <c r="P32" i="166" s="1"/>
  <c r="K32" i="166"/>
  <c r="K32" i="165"/>
  <c r="N32" i="165"/>
  <c r="P32" i="165" s="1"/>
  <c r="J32" i="167" l="1"/>
  <c r="F32" i="167"/>
  <c r="E32" i="167" s="1"/>
  <c r="L32" i="165"/>
  <c r="G33" i="165"/>
  <c r="M32" i="165"/>
  <c r="O32" i="165" s="1"/>
  <c r="B32" i="165"/>
  <c r="L32" i="166"/>
  <c r="G33" i="166"/>
  <c r="R33" i="166" s="1"/>
  <c r="M32" i="166"/>
  <c r="O32" i="166" s="1"/>
  <c r="B32" i="166"/>
  <c r="K32" i="167" l="1"/>
  <c r="N32" i="167"/>
  <c r="P32" i="167" s="1"/>
  <c r="R33" i="165"/>
  <c r="C33" i="166"/>
  <c r="T32" i="166"/>
  <c r="T32" i="165"/>
  <c r="C33" i="165"/>
  <c r="L32" i="167" l="1"/>
  <c r="M32" i="167"/>
  <c r="O32" i="167" s="1"/>
  <c r="B32" i="167"/>
  <c r="G33" i="167"/>
  <c r="R33" i="167" s="1"/>
  <c r="F33" i="166"/>
  <c r="E33" i="166" s="1"/>
  <c r="J33" i="166"/>
  <c r="F33" i="165"/>
  <c r="E33" i="165" s="1"/>
  <c r="J33" i="165"/>
  <c r="T32" i="167" l="1"/>
  <c r="C33" i="167"/>
  <c r="N33" i="165"/>
  <c r="P33" i="165" s="1"/>
  <c r="K33" i="165"/>
  <c r="N33" i="166"/>
  <c r="P33" i="166" s="1"/>
  <c r="K33" i="166"/>
  <c r="F33" i="167" l="1"/>
  <c r="E33" i="167" s="1"/>
  <c r="J33" i="167"/>
  <c r="M33" i="166"/>
  <c r="O33" i="166" s="1"/>
  <c r="B33" i="166"/>
  <c r="G34" i="166"/>
  <c r="R34" i="166" s="1"/>
  <c r="L33" i="166"/>
  <c r="L33" i="165"/>
  <c r="G34" i="165"/>
  <c r="M33" i="165"/>
  <c r="O33" i="165" s="1"/>
  <c r="B33" i="165"/>
  <c r="N33" i="167" l="1"/>
  <c r="P33" i="167" s="1"/>
  <c r="K33" i="167"/>
  <c r="R34" i="165"/>
  <c r="T33" i="166"/>
  <c r="C34" i="166"/>
  <c r="C34" i="165"/>
  <c r="T33" i="165"/>
  <c r="G34" i="167" l="1"/>
  <c r="R34" i="167" s="1"/>
  <c r="B33" i="167"/>
  <c r="M33" i="167"/>
  <c r="O33" i="167" s="1"/>
  <c r="L33" i="167"/>
  <c r="F34" i="166"/>
  <c r="E34" i="166" s="1"/>
  <c r="J34" i="166"/>
  <c r="J34" i="165"/>
  <c r="F34" i="165"/>
  <c r="E34" i="165" s="1"/>
  <c r="T33" i="167" l="1"/>
  <c r="C34" i="167"/>
  <c r="K34" i="166"/>
  <c r="N34" i="166"/>
  <c r="P34" i="166" s="1"/>
  <c r="K34" i="165"/>
  <c r="N34" i="165"/>
  <c r="P34" i="165" s="1"/>
  <c r="F34" i="167" l="1"/>
  <c r="E34" i="167" s="1"/>
  <c r="J34" i="167"/>
  <c r="L34" i="166"/>
  <c r="B34" i="166"/>
  <c r="M34" i="166"/>
  <c r="O34" i="166" s="1"/>
  <c r="G35" i="166"/>
  <c r="R35" i="166" s="1"/>
  <c r="G35" i="165"/>
  <c r="B34" i="165"/>
  <c r="L34" i="165"/>
  <c r="M34" i="165"/>
  <c r="O34" i="165" s="1"/>
  <c r="N34" i="167" l="1"/>
  <c r="P34" i="167" s="1"/>
  <c r="K34" i="167"/>
  <c r="C35" i="165"/>
  <c r="T34" i="165"/>
  <c r="R35" i="165"/>
  <c r="T34" i="166"/>
  <c r="C35" i="166"/>
  <c r="G35" i="167" l="1"/>
  <c r="R35" i="167" s="1"/>
  <c r="B34" i="167"/>
  <c r="L34" i="167"/>
  <c r="M34" i="167"/>
  <c r="O34" i="167" s="1"/>
  <c r="J35" i="166"/>
  <c r="F35" i="166"/>
  <c r="E35" i="166" s="1"/>
  <c r="J35" i="165"/>
  <c r="F35" i="165"/>
  <c r="E35" i="165" s="1"/>
  <c r="C35" i="167" l="1"/>
  <c r="T34" i="167"/>
  <c r="K35" i="166"/>
  <c r="N35" i="166"/>
  <c r="P35" i="166" s="1"/>
  <c r="N35" i="165"/>
  <c r="P35" i="165" s="1"/>
  <c r="K35" i="165"/>
  <c r="J35" i="167" l="1"/>
  <c r="F35" i="167"/>
  <c r="E35" i="167" s="1"/>
  <c r="B35" i="165"/>
  <c r="M35" i="165"/>
  <c r="O35" i="165" s="1"/>
  <c r="G36" i="165"/>
  <c r="L35" i="165"/>
  <c r="G36" i="166"/>
  <c r="R36" i="166" s="1"/>
  <c r="B35" i="166"/>
  <c r="L35" i="166"/>
  <c r="M35" i="166"/>
  <c r="O35" i="166" s="1"/>
  <c r="N35" i="167" l="1"/>
  <c r="P35" i="167" s="1"/>
  <c r="K35" i="167"/>
  <c r="R36" i="165"/>
  <c r="C36" i="165"/>
  <c r="T35" i="165"/>
  <c r="T35" i="166"/>
  <c r="C36" i="166"/>
  <c r="L35" i="167" l="1"/>
  <c r="G36" i="167"/>
  <c r="R36" i="167" s="1"/>
  <c r="B35" i="167"/>
  <c r="M35" i="167"/>
  <c r="O35" i="167" s="1"/>
  <c r="J36" i="165"/>
  <c r="F36" i="165"/>
  <c r="E36" i="165" s="1"/>
  <c r="F36" i="166"/>
  <c r="E36" i="166" s="1"/>
  <c r="J36" i="166"/>
  <c r="C36" i="167" l="1"/>
  <c r="T35" i="167"/>
  <c r="N36" i="165"/>
  <c r="P36" i="165" s="1"/>
  <c r="K36" i="165"/>
  <c r="N36" i="166"/>
  <c r="P36" i="166" s="1"/>
  <c r="K36" i="166"/>
  <c r="J36" i="167" l="1"/>
  <c r="F36" i="167"/>
  <c r="E36" i="167" s="1"/>
  <c r="L36" i="166"/>
  <c r="G37" i="166"/>
  <c r="R37" i="166" s="1"/>
  <c r="M36" i="166"/>
  <c r="O36" i="166" s="1"/>
  <c r="B36" i="166"/>
  <c r="L36" i="165"/>
  <c r="G37" i="165"/>
  <c r="M36" i="165"/>
  <c r="O36" i="165" s="1"/>
  <c r="B36" i="165"/>
  <c r="N36" i="167" l="1"/>
  <c r="P36" i="167" s="1"/>
  <c r="K36" i="167"/>
  <c r="L36" i="167" s="1"/>
  <c r="R37" i="165"/>
  <c r="C37" i="165"/>
  <c r="T36" i="165"/>
  <c r="T36" i="166"/>
  <c r="C37" i="166"/>
  <c r="T36" i="167" l="1"/>
  <c r="C37" i="167"/>
  <c r="J37" i="167" s="1"/>
  <c r="M36" i="167"/>
  <c r="O36" i="167" s="1"/>
  <c r="B36" i="167"/>
  <c r="G37" i="167"/>
  <c r="R37" i="167" s="1"/>
  <c r="J37" i="165"/>
  <c r="F37" i="165"/>
  <c r="E37" i="165" s="1"/>
  <c r="F37" i="166"/>
  <c r="E37" i="166" s="1"/>
  <c r="J37" i="166"/>
  <c r="F37" i="167" l="1"/>
  <c r="E37" i="167" s="1"/>
  <c r="K37" i="167" s="1"/>
  <c r="N37" i="167"/>
  <c r="P37" i="167" s="1"/>
  <c r="N37" i="165"/>
  <c r="P37" i="165" s="1"/>
  <c r="K37" i="165"/>
  <c r="K37" i="166"/>
  <c r="N37" i="166"/>
  <c r="P37" i="166" s="1"/>
  <c r="L37" i="165" l="1"/>
  <c r="M37" i="165"/>
  <c r="O37" i="165" s="1"/>
  <c r="G38" i="165"/>
  <c r="B37" i="165"/>
  <c r="L37" i="167"/>
  <c r="G38" i="167"/>
  <c r="R38" i="167" s="1"/>
  <c r="B37" i="167"/>
  <c r="M37" i="167"/>
  <c r="O37" i="167" s="1"/>
  <c r="L37" i="166"/>
  <c r="M37" i="166"/>
  <c r="O37" i="166" s="1"/>
  <c r="G38" i="166"/>
  <c r="R38" i="166" s="1"/>
  <c r="B37" i="166"/>
  <c r="R38" i="165" l="1"/>
  <c r="C38" i="166"/>
  <c r="T37" i="166"/>
  <c r="T37" i="167"/>
  <c r="C38" i="167"/>
  <c r="T37" i="165"/>
  <c r="C38" i="165"/>
  <c r="F38" i="166" l="1"/>
  <c r="E38" i="166" s="1"/>
  <c r="J38" i="166"/>
  <c r="F38" i="165"/>
  <c r="E38" i="165" s="1"/>
  <c r="J38" i="165"/>
  <c r="F38" i="167"/>
  <c r="E38" i="167" s="1"/>
  <c r="J38" i="167"/>
  <c r="N38" i="166" l="1"/>
  <c r="P38" i="166" s="1"/>
  <c r="K38" i="166"/>
  <c r="K38" i="165"/>
  <c r="N38" i="165"/>
  <c r="P38" i="165" s="1"/>
  <c r="N38" i="167"/>
  <c r="P38" i="167" s="1"/>
  <c r="K38" i="167"/>
  <c r="L38" i="165" l="1"/>
  <c r="M38" i="165"/>
  <c r="O38" i="165" s="1"/>
  <c r="B38" i="165"/>
  <c r="G39" i="165"/>
  <c r="L38" i="167"/>
  <c r="M38" i="167"/>
  <c r="O38" i="167" s="1"/>
  <c r="B38" i="167"/>
  <c r="G39" i="167"/>
  <c r="R39" i="167" s="1"/>
  <c r="R15" i="167" s="1"/>
  <c r="G39" i="166"/>
  <c r="R39" i="166" s="1"/>
  <c r="R15" i="166" s="1"/>
  <c r="M38" i="166"/>
  <c r="O38" i="166" s="1"/>
  <c r="B38" i="166"/>
  <c r="L38" i="166"/>
  <c r="T38" i="166" l="1"/>
  <c r="C39" i="166"/>
  <c r="R39" i="165"/>
  <c r="R15" i="165" s="1"/>
  <c r="T38" i="167"/>
  <c r="C39" i="167"/>
  <c r="T38" i="165"/>
  <c r="C39" i="165"/>
  <c r="F39" i="165" l="1"/>
  <c r="E39" i="165" s="1"/>
  <c r="J39" i="165"/>
  <c r="F39" i="166"/>
  <c r="E39" i="166" s="1"/>
  <c r="J39" i="166"/>
  <c r="F39" i="167"/>
  <c r="E39" i="167" s="1"/>
  <c r="J39" i="167"/>
  <c r="N39" i="167" l="1"/>
  <c r="P39" i="167" s="1"/>
  <c r="P15" i="167" s="1"/>
  <c r="K39" i="167"/>
  <c r="N39" i="165"/>
  <c r="P39" i="165" s="1"/>
  <c r="P15" i="165" s="1"/>
  <c r="W58" i="162" s="1"/>
  <c r="K39" i="165"/>
  <c r="K39" i="166"/>
  <c r="N39" i="166"/>
  <c r="P39" i="166" s="1"/>
  <c r="P15" i="166" s="1"/>
  <c r="B39" i="167" l="1"/>
  <c r="L39" i="167"/>
  <c r="G40" i="167"/>
  <c r="R40" i="167" s="1"/>
  <c r="M39" i="167"/>
  <c r="O39" i="167" s="1"/>
  <c r="M39" i="165"/>
  <c r="O39" i="165" s="1"/>
  <c r="L39" i="165"/>
  <c r="G40" i="165"/>
  <c r="B39" i="165"/>
  <c r="M39" i="166"/>
  <c r="O39" i="166" s="1"/>
  <c r="L39" i="166"/>
  <c r="B39" i="166"/>
  <c r="G40" i="166"/>
  <c r="R40" i="166" s="1"/>
  <c r="R40" i="165" l="1"/>
  <c r="C40" i="166"/>
  <c r="T39" i="166"/>
  <c r="T15" i="166" s="1"/>
  <c r="C40" i="165"/>
  <c r="T39" i="165"/>
  <c r="T15" i="165" s="1"/>
  <c r="AF58" i="162" s="1"/>
  <c r="C40" i="167"/>
  <c r="T39" i="167"/>
  <c r="T15" i="167" s="1"/>
  <c r="J40" i="167" l="1"/>
  <c r="F40" i="167"/>
  <c r="E40" i="167" s="1"/>
  <c r="F40" i="166"/>
  <c r="E40" i="166" s="1"/>
  <c r="J40" i="166"/>
  <c r="J40" i="165"/>
  <c r="F40" i="165"/>
  <c r="E40" i="165" s="1"/>
  <c r="N40" i="165" l="1"/>
  <c r="P40" i="165" s="1"/>
  <c r="K40" i="165"/>
  <c r="N40" i="166"/>
  <c r="P40" i="166" s="1"/>
  <c r="K40" i="166"/>
  <c r="K40" i="167"/>
  <c r="N40" i="167"/>
  <c r="P40" i="167" s="1"/>
  <c r="M40" i="166" l="1"/>
  <c r="O40" i="166" s="1"/>
  <c r="B40" i="166"/>
  <c r="L40" i="166"/>
  <c r="G41" i="166"/>
  <c r="R41" i="166" s="1"/>
  <c r="G41" i="165"/>
  <c r="M40" i="165"/>
  <c r="O40" i="165" s="1"/>
  <c r="B40" i="165"/>
  <c r="L40" i="165"/>
  <c r="B40" i="167"/>
  <c r="L40" i="167"/>
  <c r="G41" i="167"/>
  <c r="R41" i="167" s="1"/>
  <c r="M40" i="167"/>
  <c r="O40" i="167" s="1"/>
  <c r="C41" i="165" l="1"/>
  <c r="T40" i="165"/>
  <c r="C41" i="167"/>
  <c r="T40" i="167"/>
  <c r="C41" i="166"/>
  <c r="T40" i="166"/>
  <c r="R41" i="165"/>
  <c r="J41" i="166" l="1"/>
  <c r="F41" i="166"/>
  <c r="E41" i="166" s="1"/>
  <c r="F41" i="165"/>
  <c r="E41" i="165" s="1"/>
  <c r="J41" i="165"/>
  <c r="J41" i="167"/>
  <c r="F41" i="167"/>
  <c r="E41" i="167" s="1"/>
  <c r="K41" i="165" l="1"/>
  <c r="N41" i="165"/>
  <c r="P41" i="165" s="1"/>
  <c r="N41" i="167"/>
  <c r="P41" i="167" s="1"/>
  <c r="K41" i="167"/>
  <c r="K41" i="166"/>
  <c r="N41" i="166"/>
  <c r="P41" i="166" s="1"/>
  <c r="B41" i="167" l="1"/>
  <c r="L41" i="167"/>
  <c r="M41" i="167"/>
  <c r="O41" i="167" s="1"/>
  <c r="G42" i="167"/>
  <c r="R42" i="167" s="1"/>
  <c r="B41" i="166"/>
  <c r="M41" i="166"/>
  <c r="O41" i="166" s="1"/>
  <c r="L41" i="166"/>
  <c r="G42" i="166"/>
  <c r="R42" i="166" s="1"/>
  <c r="L41" i="165"/>
  <c r="M41" i="165"/>
  <c r="O41" i="165" s="1"/>
  <c r="B41" i="165"/>
  <c r="G42" i="165"/>
  <c r="C42" i="166" l="1"/>
  <c r="T41" i="166"/>
  <c r="C42" i="167"/>
  <c r="T41" i="167"/>
  <c r="R42" i="165"/>
  <c r="C42" i="165"/>
  <c r="T41" i="165"/>
  <c r="F42" i="167" l="1"/>
  <c r="E42" i="167" s="1"/>
  <c r="J42" i="167"/>
  <c r="J42" i="166"/>
  <c r="F42" i="166"/>
  <c r="E42" i="166" s="1"/>
  <c r="J42" i="165"/>
  <c r="F42" i="165"/>
  <c r="E42" i="165" s="1"/>
  <c r="N42" i="166" l="1"/>
  <c r="P42" i="166" s="1"/>
  <c r="K42" i="166"/>
  <c r="N42" i="167"/>
  <c r="P42" i="167" s="1"/>
  <c r="K42" i="167"/>
  <c r="K42" i="165"/>
  <c r="N42" i="165"/>
  <c r="P42" i="165" s="1"/>
  <c r="G43" i="167" l="1"/>
  <c r="R43" i="167" s="1"/>
  <c r="M42" i="167"/>
  <c r="O42" i="167" s="1"/>
  <c r="B42" i="167"/>
  <c r="L42" i="167"/>
  <c r="L42" i="166"/>
  <c r="G43" i="166"/>
  <c r="R43" i="166" s="1"/>
  <c r="M42" i="166"/>
  <c r="O42" i="166" s="1"/>
  <c r="B42" i="166"/>
  <c r="L42" i="165"/>
  <c r="G43" i="165"/>
  <c r="B42" i="165"/>
  <c r="M42" i="165"/>
  <c r="O42" i="165" s="1"/>
  <c r="C43" i="167" l="1"/>
  <c r="T42" i="167"/>
  <c r="R43" i="165"/>
  <c r="C43" i="165"/>
  <c r="T42" i="165"/>
  <c r="C43" i="166"/>
  <c r="T42" i="166"/>
  <c r="J43" i="165" l="1"/>
  <c r="F43" i="165"/>
  <c r="E43" i="165" s="1"/>
  <c r="J43" i="167"/>
  <c r="F43" i="167"/>
  <c r="E43" i="167" s="1"/>
  <c r="F43" i="166"/>
  <c r="E43" i="166" s="1"/>
  <c r="J43" i="166"/>
  <c r="K43" i="167" l="1"/>
  <c r="N43" i="167"/>
  <c r="P43" i="167" s="1"/>
  <c r="K43" i="166"/>
  <c r="N43" i="166"/>
  <c r="P43" i="166" s="1"/>
  <c r="K43" i="165"/>
  <c r="N43" i="165"/>
  <c r="P43" i="165" s="1"/>
  <c r="M43" i="166" l="1"/>
  <c r="O43" i="166" s="1"/>
  <c r="B43" i="166"/>
  <c r="L43" i="166"/>
  <c r="G44" i="166"/>
  <c r="R44" i="166" s="1"/>
  <c r="L43" i="165"/>
  <c r="M43" i="165"/>
  <c r="O43" i="165" s="1"/>
  <c r="B43" i="165"/>
  <c r="G44" i="165"/>
  <c r="L43" i="167"/>
  <c r="G44" i="167"/>
  <c r="R44" i="167" s="1"/>
  <c r="B43" i="167"/>
  <c r="M43" i="167"/>
  <c r="O43" i="167" s="1"/>
  <c r="R44" i="165" l="1"/>
  <c r="C44" i="166"/>
  <c r="T43" i="166"/>
  <c r="C44" i="167"/>
  <c r="T43" i="167"/>
  <c r="T43" i="165"/>
  <c r="C44" i="165"/>
  <c r="J44" i="167" l="1"/>
  <c r="F44" i="167"/>
  <c r="E44" i="167" s="1"/>
  <c r="J44" i="165"/>
  <c r="F44" i="165"/>
  <c r="E44" i="165" s="1"/>
  <c r="J44" i="166"/>
  <c r="F44" i="166"/>
  <c r="E44" i="166" s="1"/>
  <c r="N44" i="165" l="1"/>
  <c r="P44" i="165" s="1"/>
  <c r="K44" i="165"/>
  <c r="K44" i="166"/>
  <c r="N44" i="166"/>
  <c r="P44" i="166" s="1"/>
  <c r="N44" i="167"/>
  <c r="P44" i="167" s="1"/>
  <c r="K44" i="167"/>
  <c r="M44" i="166" l="1"/>
  <c r="O44" i="166" s="1"/>
  <c r="G45" i="166"/>
  <c r="R45" i="166" s="1"/>
  <c r="L44" i="166"/>
  <c r="B44" i="166"/>
  <c r="M44" i="167"/>
  <c r="O44" i="167" s="1"/>
  <c r="L44" i="167"/>
  <c r="G45" i="167"/>
  <c r="R45" i="167" s="1"/>
  <c r="B44" i="167"/>
  <c r="L44" i="165"/>
  <c r="M44" i="165"/>
  <c r="O44" i="165" s="1"/>
  <c r="B44" i="165"/>
  <c r="G45" i="165"/>
  <c r="R45" i="165" l="1"/>
  <c r="C45" i="166"/>
  <c r="T44" i="166"/>
  <c r="C45" i="167"/>
  <c r="T44" i="167"/>
  <c r="T44" i="165"/>
  <c r="C45" i="165"/>
  <c r="F45" i="166" l="1"/>
  <c r="E45" i="166" s="1"/>
  <c r="J45" i="166"/>
  <c r="J45" i="167"/>
  <c r="F45" i="167"/>
  <c r="E45" i="167" s="1"/>
  <c r="F45" i="165"/>
  <c r="E45" i="165" s="1"/>
  <c r="J45" i="165"/>
  <c r="N45" i="167" l="1"/>
  <c r="P45" i="167" s="1"/>
  <c r="K45" i="167"/>
  <c r="K45" i="166"/>
  <c r="N45" i="166"/>
  <c r="P45" i="166" s="1"/>
  <c r="N45" i="165"/>
  <c r="P45" i="165" s="1"/>
  <c r="K45" i="165"/>
  <c r="G46" i="166" l="1"/>
  <c r="R46" i="166" s="1"/>
  <c r="B45" i="166"/>
  <c r="L45" i="166"/>
  <c r="M45" i="166"/>
  <c r="O45" i="166" s="1"/>
  <c r="M45" i="165"/>
  <c r="O45" i="165" s="1"/>
  <c r="B45" i="165"/>
  <c r="L45" i="165"/>
  <c r="G46" i="165"/>
  <c r="L45" i="167"/>
  <c r="B45" i="167"/>
  <c r="G46" i="167"/>
  <c r="R46" i="167" s="1"/>
  <c r="M45" i="167"/>
  <c r="O45" i="167" s="1"/>
  <c r="T45" i="165" l="1"/>
  <c r="C46" i="165"/>
  <c r="C46" i="166"/>
  <c r="T45" i="166"/>
  <c r="R46" i="165"/>
  <c r="C46" i="167"/>
  <c r="T45" i="167"/>
  <c r="J46" i="167" l="1"/>
  <c r="F46" i="167"/>
  <c r="E46" i="167" s="1"/>
  <c r="F46" i="165"/>
  <c r="E46" i="165" s="1"/>
  <c r="J46" i="165"/>
  <c r="F46" i="166"/>
  <c r="E46" i="166" s="1"/>
  <c r="J46" i="166"/>
  <c r="N46" i="166" l="1"/>
  <c r="P46" i="166" s="1"/>
  <c r="K46" i="166"/>
  <c r="K46" i="167"/>
  <c r="N46" i="167"/>
  <c r="P46" i="167" s="1"/>
  <c r="K46" i="165"/>
  <c r="N46" i="165"/>
  <c r="P46" i="165" s="1"/>
  <c r="B46" i="167" l="1"/>
  <c r="L46" i="167"/>
  <c r="M46" i="167"/>
  <c r="O46" i="167" s="1"/>
  <c r="G47" i="167"/>
  <c r="R47" i="167" s="1"/>
  <c r="L46" i="166"/>
  <c r="G47" i="166"/>
  <c r="R47" i="166" s="1"/>
  <c r="M46" i="166"/>
  <c r="O46" i="166" s="1"/>
  <c r="B46" i="166"/>
  <c r="G47" i="165"/>
  <c r="M46" i="165"/>
  <c r="O46" i="165" s="1"/>
  <c r="L46" i="165"/>
  <c r="B46" i="165"/>
  <c r="T46" i="165" l="1"/>
  <c r="C47" i="165"/>
  <c r="T46" i="167"/>
  <c r="C47" i="167"/>
  <c r="R47" i="165"/>
  <c r="C47" i="166"/>
  <c r="T46" i="166"/>
  <c r="J47" i="165" l="1"/>
  <c r="F47" i="165"/>
  <c r="E47" i="165" s="1"/>
  <c r="J47" i="166"/>
  <c r="F47" i="166"/>
  <c r="E47" i="166" s="1"/>
  <c r="J47" i="167"/>
  <c r="F47" i="167"/>
  <c r="E47" i="167" s="1"/>
  <c r="K47" i="166" l="1"/>
  <c r="N47" i="166"/>
  <c r="P47" i="166" s="1"/>
  <c r="N47" i="167"/>
  <c r="P47" i="167" s="1"/>
  <c r="K47" i="167"/>
  <c r="K47" i="165"/>
  <c r="N47" i="165"/>
  <c r="P47" i="165" s="1"/>
  <c r="G48" i="167" l="1"/>
  <c r="R48" i="167" s="1"/>
  <c r="B47" i="167"/>
  <c r="L47" i="167"/>
  <c r="M47" i="167"/>
  <c r="O47" i="167" s="1"/>
  <c r="L47" i="165"/>
  <c r="M47" i="165"/>
  <c r="O47" i="165" s="1"/>
  <c r="B47" i="165"/>
  <c r="G48" i="165"/>
  <c r="L47" i="166"/>
  <c r="B47" i="166"/>
  <c r="M47" i="166"/>
  <c r="O47" i="166" s="1"/>
  <c r="G48" i="166"/>
  <c r="R48" i="166" s="1"/>
  <c r="R48" i="165" l="1"/>
  <c r="C48" i="167"/>
  <c r="T47" i="167"/>
  <c r="T47" i="166"/>
  <c r="C48" i="166"/>
  <c r="T47" i="165"/>
  <c r="C48" i="165"/>
  <c r="J48" i="165" l="1"/>
  <c r="F48" i="165"/>
  <c r="E48" i="165" s="1"/>
  <c r="F48" i="166"/>
  <c r="E48" i="166" s="1"/>
  <c r="J48" i="166"/>
  <c r="J48" i="167"/>
  <c r="F48" i="167"/>
  <c r="E48" i="167" s="1"/>
  <c r="N48" i="166" l="1"/>
  <c r="P48" i="166" s="1"/>
  <c r="K48" i="166"/>
  <c r="K48" i="167"/>
  <c r="N48" i="167"/>
  <c r="P48" i="167" s="1"/>
  <c r="K48" i="165"/>
  <c r="N48" i="165"/>
  <c r="P48" i="165" s="1"/>
  <c r="G49" i="167" l="1"/>
  <c r="R49" i="167" s="1"/>
  <c r="B48" i="167"/>
  <c r="L48" i="167"/>
  <c r="M48" i="167"/>
  <c r="O48" i="167" s="1"/>
  <c r="L48" i="166"/>
  <c r="B48" i="166"/>
  <c r="G49" i="166"/>
  <c r="R49" i="166" s="1"/>
  <c r="M48" i="166"/>
  <c r="O48" i="166" s="1"/>
  <c r="L48" i="165"/>
  <c r="M48" i="165"/>
  <c r="O48" i="165" s="1"/>
  <c r="B48" i="165"/>
  <c r="G49" i="165"/>
  <c r="R49" i="165" l="1"/>
  <c r="T48" i="167"/>
  <c r="C49" i="167"/>
  <c r="C49" i="165"/>
  <c r="T48" i="165"/>
  <c r="T48" i="166"/>
  <c r="C49" i="166"/>
  <c r="F49" i="165" l="1"/>
  <c r="E49" i="165" s="1"/>
  <c r="J49" i="165"/>
  <c r="J49" i="166"/>
  <c r="F49" i="166"/>
  <c r="E49" i="166" s="1"/>
  <c r="J49" i="167"/>
  <c r="F49" i="167"/>
  <c r="E49" i="167" s="1"/>
  <c r="N49" i="165" l="1"/>
  <c r="P49" i="165" s="1"/>
  <c r="K49" i="165"/>
  <c r="K49" i="167"/>
  <c r="N49" i="167"/>
  <c r="P49" i="167" s="1"/>
  <c r="K49" i="166"/>
  <c r="N49" i="166"/>
  <c r="P49" i="166" s="1"/>
  <c r="L49" i="167" l="1"/>
  <c r="M49" i="167"/>
  <c r="O49" i="167" s="1"/>
  <c r="B49" i="167"/>
  <c r="G50" i="167"/>
  <c r="R50" i="167" s="1"/>
  <c r="G50" i="165"/>
  <c r="L49" i="165"/>
  <c r="M49" i="165"/>
  <c r="O49" i="165" s="1"/>
  <c r="B49" i="165"/>
  <c r="L49" i="166"/>
  <c r="G50" i="166"/>
  <c r="R50" i="166" s="1"/>
  <c r="M49" i="166"/>
  <c r="O49" i="166" s="1"/>
  <c r="B49" i="166"/>
  <c r="T49" i="165" l="1"/>
  <c r="C50" i="165"/>
  <c r="C50" i="166"/>
  <c r="T49" i="166"/>
  <c r="R50" i="165"/>
  <c r="T49" i="167"/>
  <c r="C50" i="167"/>
  <c r="J50" i="167" l="1"/>
  <c r="F50" i="167"/>
  <c r="E50" i="167" s="1"/>
  <c r="F50" i="166"/>
  <c r="E50" i="166" s="1"/>
  <c r="J50" i="166"/>
  <c r="F50" i="165"/>
  <c r="E50" i="165" s="1"/>
  <c r="J50" i="165"/>
  <c r="K50" i="166" l="1"/>
  <c r="N50" i="166"/>
  <c r="P50" i="166" s="1"/>
  <c r="N50" i="167"/>
  <c r="P50" i="167" s="1"/>
  <c r="K50" i="167"/>
  <c r="K50" i="165"/>
  <c r="N50" i="165"/>
  <c r="P50" i="165" s="1"/>
  <c r="M50" i="167" l="1"/>
  <c r="O50" i="167" s="1"/>
  <c r="B50" i="167"/>
  <c r="L50" i="167"/>
  <c r="G51" i="167"/>
  <c r="R51" i="167" s="1"/>
  <c r="B50" i="165"/>
  <c r="L50" i="165"/>
  <c r="G51" i="165"/>
  <c r="M50" i="165"/>
  <c r="O50" i="165" s="1"/>
  <c r="L50" i="166"/>
  <c r="G51" i="166"/>
  <c r="R51" i="166" s="1"/>
  <c r="M50" i="166"/>
  <c r="O50" i="166" s="1"/>
  <c r="B50" i="166"/>
  <c r="C51" i="167" l="1"/>
  <c r="T50" i="167"/>
  <c r="R51" i="165"/>
  <c r="T50" i="165"/>
  <c r="C51" i="165"/>
  <c r="T50" i="166"/>
  <c r="C51" i="166"/>
  <c r="J51" i="166" l="1"/>
  <c r="F51" i="166"/>
  <c r="E51" i="166" s="1"/>
  <c r="F51" i="165"/>
  <c r="E51" i="165" s="1"/>
  <c r="J51" i="165"/>
  <c r="F51" i="167"/>
  <c r="E51" i="167" s="1"/>
  <c r="J51" i="167"/>
  <c r="K51" i="165" l="1"/>
  <c r="N51" i="165"/>
  <c r="P51" i="165" s="1"/>
  <c r="N51" i="167"/>
  <c r="P51" i="167" s="1"/>
  <c r="K51" i="167"/>
  <c r="K51" i="166"/>
  <c r="N51" i="166"/>
  <c r="P51" i="166" s="1"/>
  <c r="L51" i="167" l="1"/>
  <c r="M51" i="167"/>
  <c r="O51" i="167" s="1"/>
  <c r="B51" i="167"/>
  <c r="G52" i="167"/>
  <c r="R52" i="167" s="1"/>
  <c r="B51" i="166"/>
  <c r="L51" i="166"/>
  <c r="G52" i="166"/>
  <c r="R52" i="166" s="1"/>
  <c r="M51" i="166"/>
  <c r="O51" i="166" s="1"/>
  <c r="L51" i="165"/>
  <c r="B51" i="165"/>
  <c r="G52" i="165"/>
  <c r="M51" i="165"/>
  <c r="O51" i="165" s="1"/>
  <c r="R52" i="165" l="1"/>
  <c r="T51" i="166"/>
  <c r="C52" i="166"/>
  <c r="C52" i="165"/>
  <c r="T51" i="165"/>
  <c r="C52" i="167"/>
  <c r="T51" i="167"/>
  <c r="F52" i="165" l="1"/>
  <c r="E52" i="165" s="1"/>
  <c r="J52" i="165"/>
  <c r="J52" i="166"/>
  <c r="F52" i="166"/>
  <c r="E52" i="166" s="1"/>
  <c r="F52" i="167"/>
  <c r="E52" i="167" s="1"/>
  <c r="J52" i="167"/>
  <c r="N52" i="166" l="1"/>
  <c r="P52" i="166" s="1"/>
  <c r="K52" i="166"/>
  <c r="N52" i="167"/>
  <c r="P52" i="167" s="1"/>
  <c r="K52" i="167"/>
  <c r="N52" i="165"/>
  <c r="P52" i="165" s="1"/>
  <c r="K52" i="165"/>
  <c r="G53" i="167" l="1"/>
  <c r="R53" i="167" s="1"/>
  <c r="L52" i="167"/>
  <c r="M52" i="167"/>
  <c r="O52" i="167" s="1"/>
  <c r="B52" i="167"/>
  <c r="L52" i="165"/>
  <c r="M52" i="165"/>
  <c r="O52" i="165" s="1"/>
  <c r="G53" i="165"/>
  <c r="B52" i="165"/>
  <c r="B52" i="166"/>
  <c r="L52" i="166"/>
  <c r="M52" i="166"/>
  <c r="O52" i="166" s="1"/>
  <c r="G53" i="166"/>
  <c r="R53" i="166" s="1"/>
  <c r="R53" i="165" l="1"/>
  <c r="T52" i="167"/>
  <c r="C53" i="167"/>
  <c r="T52" i="166"/>
  <c r="C53" i="166"/>
  <c r="C53" i="165"/>
  <c r="T52" i="165"/>
  <c r="J53" i="165" l="1"/>
  <c r="F53" i="165"/>
  <c r="E53" i="165" s="1"/>
  <c r="F53" i="166"/>
  <c r="E53" i="166" s="1"/>
  <c r="J53" i="166"/>
  <c r="J53" i="167"/>
  <c r="F53" i="167"/>
  <c r="E53" i="167" s="1"/>
  <c r="N53" i="166" l="1"/>
  <c r="P53" i="166" s="1"/>
  <c r="K53" i="166"/>
  <c r="N53" i="167"/>
  <c r="P53" i="167" s="1"/>
  <c r="K53" i="167"/>
  <c r="K53" i="165"/>
  <c r="N53" i="165"/>
  <c r="P53" i="165" s="1"/>
  <c r="B53" i="167" l="1"/>
  <c r="L53" i="167"/>
  <c r="M53" i="167"/>
  <c r="O53" i="167" s="1"/>
  <c r="G54" i="167"/>
  <c r="R54" i="167" s="1"/>
  <c r="B53" i="166"/>
  <c r="L53" i="166"/>
  <c r="M53" i="166"/>
  <c r="O53" i="166" s="1"/>
  <c r="G54" i="166"/>
  <c r="R54" i="166" s="1"/>
  <c r="L53" i="165"/>
  <c r="G54" i="165"/>
  <c r="M53" i="165"/>
  <c r="O53" i="165" s="1"/>
  <c r="B53" i="165"/>
  <c r="T53" i="166" l="1"/>
  <c r="C54" i="166"/>
  <c r="T53" i="167"/>
  <c r="C54" i="167"/>
  <c r="R54" i="165"/>
  <c r="C54" i="165"/>
  <c r="T53" i="165"/>
  <c r="F54" i="166" l="1"/>
  <c r="E54" i="166" s="1"/>
  <c r="J54" i="166"/>
  <c r="J54" i="165"/>
  <c r="F54" i="165"/>
  <c r="E54" i="165" s="1"/>
  <c r="J54" i="167"/>
  <c r="F54" i="167"/>
  <c r="E54" i="167" s="1"/>
  <c r="N54" i="167" l="1"/>
  <c r="P54" i="167" s="1"/>
  <c r="K54" i="167"/>
  <c r="K54" i="166"/>
  <c r="N54" i="166"/>
  <c r="P54" i="166" s="1"/>
  <c r="N54" i="165"/>
  <c r="P54" i="165" s="1"/>
  <c r="K54" i="165"/>
  <c r="L54" i="166" l="1"/>
  <c r="G55" i="166"/>
  <c r="R55" i="166" s="1"/>
  <c r="M54" i="166"/>
  <c r="O54" i="166" s="1"/>
  <c r="B54" i="166"/>
  <c r="L54" i="165"/>
  <c r="M54" i="165"/>
  <c r="O54" i="165" s="1"/>
  <c r="B54" i="165"/>
  <c r="G55" i="165"/>
  <c r="G55" i="167"/>
  <c r="R55" i="167" s="1"/>
  <c r="M54" i="167"/>
  <c r="O54" i="167" s="1"/>
  <c r="B54" i="167"/>
  <c r="L54" i="167"/>
  <c r="C55" i="167" l="1"/>
  <c r="T54" i="167"/>
  <c r="R55" i="165"/>
  <c r="C55" i="165"/>
  <c r="T54" i="165"/>
  <c r="T54" i="166"/>
  <c r="C55" i="166"/>
  <c r="F55" i="165" l="1"/>
  <c r="E55" i="165" s="1"/>
  <c r="J55" i="165"/>
  <c r="F55" i="166"/>
  <c r="E55" i="166" s="1"/>
  <c r="J55" i="166"/>
  <c r="F55" i="167"/>
  <c r="E55" i="167" s="1"/>
  <c r="J55" i="167"/>
  <c r="K55" i="167" l="1"/>
  <c r="N55" i="167"/>
  <c r="P55" i="167" s="1"/>
  <c r="N55" i="165"/>
  <c r="P55" i="165" s="1"/>
  <c r="K55" i="165"/>
  <c r="N55" i="166"/>
  <c r="P55" i="166" s="1"/>
  <c r="K55" i="166"/>
  <c r="M55" i="165" l="1"/>
  <c r="O55" i="165" s="1"/>
  <c r="L55" i="165"/>
  <c r="G56" i="165"/>
  <c r="B55" i="165"/>
  <c r="G56" i="166"/>
  <c r="R56" i="166" s="1"/>
  <c r="B55" i="166"/>
  <c r="L55" i="166"/>
  <c r="M55" i="166"/>
  <c r="O55" i="166" s="1"/>
  <c r="G56" i="167"/>
  <c r="R56" i="167" s="1"/>
  <c r="M55" i="167"/>
  <c r="O55" i="167" s="1"/>
  <c r="B55" i="167"/>
  <c r="L55" i="167"/>
  <c r="C56" i="167" l="1"/>
  <c r="T55" i="167"/>
  <c r="C56" i="166"/>
  <c r="T55" i="166"/>
  <c r="R56" i="165"/>
  <c r="T55" i="165"/>
  <c r="C56" i="165"/>
  <c r="J56" i="166" l="1"/>
  <c r="F56" i="166"/>
  <c r="E56" i="166" s="1"/>
  <c r="J56" i="167"/>
  <c r="F56" i="167"/>
  <c r="E56" i="167" s="1"/>
  <c r="J56" i="165"/>
  <c r="F56" i="165"/>
  <c r="E56" i="165" s="1"/>
  <c r="N56" i="165" l="1"/>
  <c r="P56" i="165" s="1"/>
  <c r="K56" i="165"/>
  <c r="K56" i="166"/>
  <c r="N56" i="166"/>
  <c r="P56" i="166" s="1"/>
  <c r="K56" i="167"/>
  <c r="N56" i="167"/>
  <c r="P56" i="167" s="1"/>
  <c r="G57" i="166" l="1"/>
  <c r="R57" i="166" s="1"/>
  <c r="B56" i="166"/>
  <c r="M56" i="166"/>
  <c r="O56" i="166" s="1"/>
  <c r="L56" i="166"/>
  <c r="M56" i="165"/>
  <c r="O56" i="165" s="1"/>
  <c r="G57" i="165"/>
  <c r="B56" i="165"/>
  <c r="L56" i="165"/>
  <c r="M56" i="167"/>
  <c r="O56" i="167" s="1"/>
  <c r="G57" i="167"/>
  <c r="R57" i="167" s="1"/>
  <c r="L56" i="167"/>
  <c r="B56" i="167"/>
  <c r="C57" i="166" l="1"/>
  <c r="T56" i="166"/>
  <c r="C57" i="167"/>
  <c r="T56" i="167"/>
  <c r="T56" i="165"/>
  <c r="C57" i="165"/>
  <c r="R57" i="165"/>
  <c r="F57" i="167" l="1"/>
  <c r="E57" i="167" s="1"/>
  <c r="J57" i="167"/>
  <c r="F57" i="165"/>
  <c r="E57" i="165" s="1"/>
  <c r="J57" i="165"/>
  <c r="J57" i="166"/>
  <c r="F57" i="166"/>
  <c r="E57" i="166" s="1"/>
  <c r="N57" i="167" l="1"/>
  <c r="P57" i="167" s="1"/>
  <c r="K57" i="167"/>
  <c r="N57" i="166"/>
  <c r="P57" i="166" s="1"/>
  <c r="K57" i="166"/>
  <c r="K57" i="165"/>
  <c r="N57" i="165"/>
  <c r="P57" i="165" s="1"/>
  <c r="B57" i="166" l="1"/>
  <c r="L57" i="166"/>
  <c r="G58" i="166"/>
  <c r="R58" i="166" s="1"/>
  <c r="M57" i="166"/>
  <c r="O57" i="166" s="1"/>
  <c r="G58" i="167"/>
  <c r="R58" i="167" s="1"/>
  <c r="L57" i="167"/>
  <c r="M57" i="167"/>
  <c r="O57" i="167" s="1"/>
  <c r="B57" i="167"/>
  <c r="L57" i="165"/>
  <c r="G58" i="165"/>
  <c r="M57" i="165"/>
  <c r="O57" i="165" s="1"/>
  <c r="B57" i="165"/>
  <c r="R58" i="165" l="1"/>
  <c r="T57" i="167"/>
  <c r="C58" i="167"/>
  <c r="T57" i="166"/>
  <c r="C58" i="166"/>
  <c r="T57" i="165"/>
  <c r="C58" i="165"/>
  <c r="F58" i="166" l="1"/>
  <c r="E58" i="166" s="1"/>
  <c r="J58" i="166"/>
  <c r="F58" i="165"/>
  <c r="E58" i="165" s="1"/>
  <c r="J58" i="165"/>
  <c r="J58" i="167"/>
  <c r="F58" i="167"/>
  <c r="E58" i="167" s="1"/>
  <c r="N58" i="165" l="1"/>
  <c r="P58" i="165" s="1"/>
  <c r="K58" i="165"/>
  <c r="K58" i="166"/>
  <c r="N58" i="166"/>
  <c r="P58" i="166" s="1"/>
  <c r="K58" i="167"/>
  <c r="N58" i="167"/>
  <c r="P58" i="167" s="1"/>
  <c r="G59" i="166" l="1"/>
  <c r="R59" i="166" s="1"/>
  <c r="M58" i="166"/>
  <c r="O58" i="166" s="1"/>
  <c r="B58" i="166"/>
  <c r="L58" i="166"/>
  <c r="L58" i="165"/>
  <c r="G59" i="165"/>
  <c r="M58" i="165"/>
  <c r="O58" i="165" s="1"/>
  <c r="B58" i="165"/>
  <c r="M58" i="167"/>
  <c r="O58" i="167" s="1"/>
  <c r="G59" i="167"/>
  <c r="R59" i="167" s="1"/>
  <c r="B58" i="167"/>
  <c r="L58" i="167"/>
  <c r="T58" i="167" l="1"/>
  <c r="C59" i="167"/>
  <c r="C59" i="166"/>
  <c r="T58" i="166"/>
  <c r="R59" i="165"/>
  <c r="T58" i="165"/>
  <c r="C59" i="165"/>
  <c r="F59" i="167" l="1"/>
  <c r="E59" i="167" s="1"/>
  <c r="J59" i="167"/>
  <c r="F59" i="166"/>
  <c r="E59" i="166" s="1"/>
  <c r="J59" i="166"/>
  <c r="J59" i="165"/>
  <c r="F59" i="165"/>
  <c r="E59" i="165" s="1"/>
  <c r="K59" i="167" l="1"/>
  <c r="N59" i="167"/>
  <c r="P59" i="167" s="1"/>
  <c r="N59" i="165"/>
  <c r="P59" i="165" s="1"/>
  <c r="K59" i="165"/>
  <c r="K59" i="166"/>
  <c r="N59" i="166"/>
  <c r="P59" i="166" s="1"/>
  <c r="L59" i="165" l="1"/>
  <c r="M59" i="165"/>
  <c r="O59" i="165" s="1"/>
  <c r="B59" i="165"/>
  <c r="G60" i="165"/>
  <c r="G60" i="166"/>
  <c r="R60" i="166" s="1"/>
  <c r="B59" i="166"/>
  <c r="L59" i="166"/>
  <c r="M59" i="166"/>
  <c r="O59" i="166" s="1"/>
  <c r="B59" i="167"/>
  <c r="L59" i="167"/>
  <c r="M59" i="167"/>
  <c r="O59" i="167" s="1"/>
  <c r="G60" i="167"/>
  <c r="R60" i="167" s="1"/>
  <c r="R60" i="165" l="1"/>
  <c r="T59" i="166"/>
  <c r="C60" i="166"/>
  <c r="T59" i="167"/>
  <c r="C60" i="167"/>
  <c r="T59" i="165"/>
  <c r="C60" i="165"/>
  <c r="J60" i="165" l="1"/>
  <c r="F60" i="165"/>
  <c r="E60" i="165" s="1"/>
  <c r="J60" i="167"/>
  <c r="F60" i="167"/>
  <c r="E60" i="167" s="1"/>
  <c r="F60" i="166"/>
  <c r="E60" i="166" s="1"/>
  <c r="J60" i="166"/>
  <c r="N60" i="167" l="1"/>
  <c r="P60" i="167" s="1"/>
  <c r="K60" i="167"/>
  <c r="N60" i="166"/>
  <c r="P60" i="166" s="1"/>
  <c r="K60" i="166"/>
  <c r="N60" i="165"/>
  <c r="P60" i="165" s="1"/>
  <c r="K60" i="165"/>
  <c r="B60" i="166" l="1"/>
  <c r="L60" i="166"/>
  <c r="M60" i="166"/>
  <c r="O60" i="166" s="1"/>
  <c r="G61" i="166"/>
  <c r="R61" i="166" s="1"/>
  <c r="L60" i="165"/>
  <c r="G61" i="165"/>
  <c r="M60" i="165"/>
  <c r="O60" i="165" s="1"/>
  <c r="B60" i="165"/>
  <c r="L60" i="167"/>
  <c r="G61" i="167"/>
  <c r="R61" i="167" s="1"/>
  <c r="B60" i="167"/>
  <c r="M60" i="167"/>
  <c r="O60" i="167" s="1"/>
  <c r="R61" i="165" l="1"/>
  <c r="T60" i="166"/>
  <c r="C61" i="166"/>
  <c r="T60" i="167"/>
  <c r="C61" i="167"/>
  <c r="C61" i="165"/>
  <c r="T60" i="165"/>
  <c r="F61" i="165" l="1"/>
  <c r="E61" i="165" s="1"/>
  <c r="J61" i="165"/>
  <c r="F61" i="166"/>
  <c r="E61" i="166" s="1"/>
  <c r="J61" i="166"/>
  <c r="F61" i="167"/>
  <c r="E61" i="167" s="1"/>
  <c r="J61" i="167"/>
  <c r="N61" i="165" l="1"/>
  <c r="P61" i="165" s="1"/>
  <c r="K61" i="165"/>
  <c r="K61" i="167"/>
  <c r="N61" i="167"/>
  <c r="P61" i="167" s="1"/>
  <c r="K61" i="166"/>
  <c r="N61" i="166"/>
  <c r="P61" i="166" s="1"/>
  <c r="L61" i="167" l="1"/>
  <c r="M61" i="167"/>
  <c r="O61" i="167" s="1"/>
  <c r="B61" i="167"/>
  <c r="G62" i="167"/>
  <c r="R62" i="167" s="1"/>
  <c r="L61" i="165"/>
  <c r="G62" i="165"/>
  <c r="M61" i="165"/>
  <c r="O61" i="165" s="1"/>
  <c r="B61" i="165"/>
  <c r="B61" i="166"/>
  <c r="G62" i="166"/>
  <c r="R62" i="166" s="1"/>
  <c r="L61" i="166"/>
  <c r="M61" i="166"/>
  <c r="O61" i="166" s="1"/>
  <c r="C62" i="166" l="1"/>
  <c r="T61" i="166"/>
  <c r="R62" i="165"/>
  <c r="T61" i="165"/>
  <c r="C62" i="165"/>
  <c r="T61" i="167"/>
  <c r="C62" i="167"/>
  <c r="F62" i="165" l="1"/>
  <c r="E62" i="165" s="1"/>
  <c r="J62" i="165"/>
  <c r="F62" i="166"/>
  <c r="E62" i="166" s="1"/>
  <c r="J62" i="166"/>
  <c r="J62" i="167"/>
  <c r="F62" i="167"/>
  <c r="E62" i="167" s="1"/>
  <c r="N62" i="166" l="1"/>
  <c r="P62" i="166" s="1"/>
  <c r="K62" i="166"/>
  <c r="K62" i="165"/>
  <c r="N62" i="165"/>
  <c r="P62" i="165" s="1"/>
  <c r="N62" i="167"/>
  <c r="P62" i="167" s="1"/>
  <c r="K62" i="167"/>
  <c r="L62" i="165" l="1"/>
  <c r="B62" i="165"/>
  <c r="G63" i="165"/>
  <c r="M62" i="165"/>
  <c r="O62" i="165" s="1"/>
  <c r="G63" i="167"/>
  <c r="R63" i="167" s="1"/>
  <c r="R16" i="167" s="1"/>
  <c r="M62" i="167"/>
  <c r="O62" i="167" s="1"/>
  <c r="B62" i="167"/>
  <c r="L62" i="167"/>
  <c r="G63" i="166"/>
  <c r="R63" i="166" s="1"/>
  <c r="R16" i="166" s="1"/>
  <c r="B62" i="166"/>
  <c r="L62" i="166"/>
  <c r="M62" i="166"/>
  <c r="O62" i="166" s="1"/>
  <c r="C63" i="166" l="1"/>
  <c r="T62" i="166"/>
  <c r="R63" i="165"/>
  <c r="R16" i="165" s="1"/>
  <c r="C63" i="167"/>
  <c r="T62" i="167"/>
  <c r="C63" i="165"/>
  <c r="T62" i="165"/>
  <c r="J63" i="165" l="1"/>
  <c r="F63" i="165"/>
  <c r="E63" i="165" s="1"/>
  <c r="F63" i="167"/>
  <c r="E63" i="167" s="1"/>
  <c r="J63" i="167"/>
  <c r="J63" i="166"/>
  <c r="F63" i="166"/>
  <c r="E63" i="166" s="1"/>
  <c r="N63" i="167" l="1"/>
  <c r="P63" i="167" s="1"/>
  <c r="P16" i="167" s="1"/>
  <c r="K63" i="167"/>
  <c r="K63" i="166"/>
  <c r="N63" i="166"/>
  <c r="P63" i="166" s="1"/>
  <c r="P16" i="166" s="1"/>
  <c r="N63" i="165"/>
  <c r="P63" i="165" s="1"/>
  <c r="P16" i="165" s="1"/>
  <c r="W59" i="162" s="1"/>
  <c r="K63" i="165"/>
  <c r="L63" i="166" l="1"/>
  <c r="M63" i="166"/>
  <c r="O63" i="166" s="1"/>
  <c r="B63" i="166"/>
  <c r="G64" i="166"/>
  <c r="R64" i="166" s="1"/>
  <c r="B63" i="165"/>
  <c r="L63" i="165"/>
  <c r="M63" i="165"/>
  <c r="O63" i="165" s="1"/>
  <c r="G64" i="165"/>
  <c r="M63" i="167"/>
  <c r="O63" i="167" s="1"/>
  <c r="B63" i="167"/>
  <c r="G64" i="167"/>
  <c r="R64" i="167" s="1"/>
  <c r="L63" i="167"/>
  <c r="R64" i="165" l="1"/>
  <c r="C64" i="165"/>
  <c r="T63" i="165"/>
  <c r="T16" i="165" s="1"/>
  <c r="AF59" i="162" s="1"/>
  <c r="C64" i="167"/>
  <c r="T63" i="167"/>
  <c r="T16" i="167" s="1"/>
  <c r="T63" i="166"/>
  <c r="T16" i="166" s="1"/>
  <c r="C64" i="166"/>
  <c r="J64" i="165" l="1"/>
  <c r="F64" i="165"/>
  <c r="E64" i="165" s="1"/>
  <c r="J64" i="166"/>
  <c r="F64" i="166"/>
  <c r="E64" i="166" s="1"/>
  <c r="J64" i="167"/>
  <c r="F64" i="167"/>
  <c r="E64" i="167" s="1"/>
  <c r="N64" i="166" l="1"/>
  <c r="P64" i="166" s="1"/>
  <c r="K64" i="166"/>
  <c r="K64" i="167"/>
  <c r="N64" i="167"/>
  <c r="P64" i="167" s="1"/>
  <c r="K64" i="165"/>
  <c r="N64" i="165"/>
  <c r="P64" i="165" s="1"/>
  <c r="L64" i="167" l="1"/>
  <c r="M64" i="167"/>
  <c r="O64" i="167" s="1"/>
  <c r="G65" i="167"/>
  <c r="R65" i="167" s="1"/>
  <c r="B64" i="167"/>
  <c r="B64" i="166"/>
  <c r="L64" i="166"/>
  <c r="G65" i="166"/>
  <c r="R65" i="166" s="1"/>
  <c r="M64" i="166"/>
  <c r="O64" i="166" s="1"/>
  <c r="L64" i="165"/>
  <c r="G65" i="165"/>
  <c r="M64" i="165"/>
  <c r="O64" i="165" s="1"/>
  <c r="B64" i="165"/>
  <c r="R65" i="165" l="1"/>
  <c r="C65" i="166"/>
  <c r="T64" i="166"/>
  <c r="T64" i="165"/>
  <c r="C65" i="165"/>
  <c r="T64" i="167"/>
  <c r="C65" i="167"/>
  <c r="J65" i="165" l="1"/>
  <c r="F65" i="165"/>
  <c r="E65" i="165" s="1"/>
  <c r="J65" i="167"/>
  <c r="F65" i="167"/>
  <c r="E65" i="167" s="1"/>
  <c r="J65" i="166"/>
  <c r="F65" i="166"/>
  <c r="E65" i="166" s="1"/>
  <c r="K65" i="167" l="1"/>
  <c r="N65" i="167"/>
  <c r="P65" i="167" s="1"/>
  <c r="N65" i="166"/>
  <c r="P65" i="166" s="1"/>
  <c r="K65" i="166"/>
  <c r="N65" i="165"/>
  <c r="P65" i="165" s="1"/>
  <c r="K65" i="165"/>
  <c r="L65" i="166" l="1"/>
  <c r="G66" i="166"/>
  <c r="R66" i="166" s="1"/>
  <c r="B65" i="166"/>
  <c r="M65" i="166"/>
  <c r="O65" i="166" s="1"/>
  <c r="L65" i="165"/>
  <c r="M65" i="165"/>
  <c r="O65" i="165" s="1"/>
  <c r="G66" i="165"/>
  <c r="B65" i="165"/>
  <c r="L65" i="167"/>
  <c r="G66" i="167"/>
  <c r="R66" i="167" s="1"/>
  <c r="B65" i="167"/>
  <c r="M65" i="167"/>
  <c r="O65" i="167" s="1"/>
  <c r="R66" i="165" l="1"/>
  <c r="T65" i="167"/>
  <c r="C66" i="167"/>
  <c r="C66" i="165"/>
  <c r="T65" i="165"/>
  <c r="C66" i="166"/>
  <c r="T65" i="166"/>
  <c r="J66" i="165" l="1"/>
  <c r="F66" i="165"/>
  <c r="E66" i="165" s="1"/>
  <c r="F66" i="167"/>
  <c r="E66" i="167" s="1"/>
  <c r="J66" i="167"/>
  <c r="F66" i="166"/>
  <c r="E66" i="166" s="1"/>
  <c r="J66" i="166"/>
  <c r="K66" i="166" l="1"/>
  <c r="N66" i="166"/>
  <c r="P66" i="166" s="1"/>
  <c r="K66" i="167"/>
  <c r="N66" i="167"/>
  <c r="P66" i="167" s="1"/>
  <c r="K66" i="165"/>
  <c r="N66" i="165"/>
  <c r="P66" i="165" s="1"/>
  <c r="L66" i="167" l="1"/>
  <c r="G67" i="167"/>
  <c r="R67" i="167" s="1"/>
  <c r="B66" i="167"/>
  <c r="M66" i="167"/>
  <c r="O66" i="167" s="1"/>
  <c r="M66" i="165"/>
  <c r="O66" i="165" s="1"/>
  <c r="B66" i="165"/>
  <c r="L66" i="165"/>
  <c r="G67" i="165"/>
  <c r="M66" i="166"/>
  <c r="O66" i="166" s="1"/>
  <c r="G67" i="166"/>
  <c r="R67" i="166" s="1"/>
  <c r="L66" i="166"/>
  <c r="B66" i="166"/>
  <c r="R67" i="165" l="1"/>
  <c r="C67" i="166"/>
  <c r="T66" i="166"/>
  <c r="C67" i="165"/>
  <c r="T66" i="165"/>
  <c r="C67" i="167"/>
  <c r="T66" i="167"/>
  <c r="J67" i="166" l="1"/>
  <c r="F67" i="166"/>
  <c r="E67" i="166" s="1"/>
  <c r="F67" i="167"/>
  <c r="E67" i="167" s="1"/>
  <c r="J67" i="167"/>
  <c r="J67" i="165"/>
  <c r="F67" i="165"/>
  <c r="E67" i="165" s="1"/>
  <c r="N67" i="165" l="1"/>
  <c r="P67" i="165" s="1"/>
  <c r="K67" i="165"/>
  <c r="N67" i="167"/>
  <c r="P67" i="167" s="1"/>
  <c r="K67" i="167"/>
  <c r="K67" i="166"/>
  <c r="N67" i="166"/>
  <c r="P67" i="166" s="1"/>
  <c r="M67" i="167" l="1"/>
  <c r="O67" i="167" s="1"/>
  <c r="L67" i="167"/>
  <c r="G68" i="167"/>
  <c r="R68" i="167" s="1"/>
  <c r="B67" i="167"/>
  <c r="M67" i="165"/>
  <c r="O67" i="165" s="1"/>
  <c r="G68" i="165"/>
  <c r="L67" i="165"/>
  <c r="B67" i="165"/>
  <c r="G68" i="166"/>
  <c r="R68" i="166" s="1"/>
  <c r="B67" i="166"/>
  <c r="L67" i="166"/>
  <c r="M67" i="166"/>
  <c r="O67" i="166" s="1"/>
  <c r="C68" i="166" l="1"/>
  <c r="T67" i="166"/>
  <c r="T67" i="165"/>
  <c r="C68" i="165"/>
  <c r="R68" i="165"/>
  <c r="T67" i="167"/>
  <c r="C68" i="167"/>
  <c r="J68" i="167" l="1"/>
  <c r="F68" i="167"/>
  <c r="E68" i="167" s="1"/>
  <c r="J68" i="165"/>
  <c r="F68" i="165"/>
  <c r="E68" i="165" s="1"/>
  <c r="F68" i="166"/>
  <c r="E68" i="166" s="1"/>
  <c r="J68" i="166"/>
  <c r="N68" i="165" l="1"/>
  <c r="P68" i="165" s="1"/>
  <c r="K68" i="165"/>
  <c r="N68" i="166"/>
  <c r="P68" i="166" s="1"/>
  <c r="K68" i="166"/>
  <c r="K68" i="167"/>
  <c r="N68" i="167"/>
  <c r="P68" i="167" s="1"/>
  <c r="L68" i="166" l="1"/>
  <c r="M68" i="166"/>
  <c r="O68" i="166" s="1"/>
  <c r="G69" i="166"/>
  <c r="R69" i="166" s="1"/>
  <c r="B68" i="166"/>
  <c r="L68" i="165"/>
  <c r="M68" i="165"/>
  <c r="O68" i="165" s="1"/>
  <c r="B68" i="165"/>
  <c r="G69" i="165"/>
  <c r="G69" i="167"/>
  <c r="R69" i="167" s="1"/>
  <c r="B68" i="167"/>
  <c r="L68" i="167"/>
  <c r="M68" i="167"/>
  <c r="O68" i="167" s="1"/>
  <c r="R69" i="165" l="1"/>
  <c r="C69" i="167"/>
  <c r="T68" i="167"/>
  <c r="C69" i="165"/>
  <c r="T68" i="165"/>
  <c r="C69" i="166"/>
  <c r="T68" i="166"/>
  <c r="J69" i="165" l="1"/>
  <c r="F69" i="165"/>
  <c r="E69" i="165" s="1"/>
  <c r="F69" i="166"/>
  <c r="E69" i="166" s="1"/>
  <c r="J69" i="166"/>
  <c r="J69" i="167"/>
  <c r="F69" i="167"/>
  <c r="E69" i="167" s="1"/>
  <c r="K69" i="165" l="1"/>
  <c r="N69" i="165"/>
  <c r="P69" i="165" s="1"/>
  <c r="N69" i="167"/>
  <c r="P69" i="167" s="1"/>
  <c r="K69" i="167"/>
  <c r="N69" i="166"/>
  <c r="P69" i="166" s="1"/>
  <c r="K69" i="166"/>
  <c r="M69" i="167" l="1"/>
  <c r="O69" i="167" s="1"/>
  <c r="G70" i="167"/>
  <c r="R70" i="167" s="1"/>
  <c r="B69" i="167"/>
  <c r="L69" i="167"/>
  <c r="L69" i="166"/>
  <c r="M69" i="166"/>
  <c r="O69" i="166" s="1"/>
  <c r="B69" i="166"/>
  <c r="G70" i="166"/>
  <c r="R70" i="166" s="1"/>
  <c r="M69" i="165"/>
  <c r="O69" i="165" s="1"/>
  <c r="B69" i="165"/>
  <c r="G70" i="165"/>
  <c r="L69" i="165"/>
  <c r="T69" i="165" l="1"/>
  <c r="C70" i="165"/>
  <c r="C70" i="167"/>
  <c r="T69" i="167"/>
  <c r="R70" i="165"/>
  <c r="T69" i="166"/>
  <c r="C70" i="166"/>
  <c r="J70" i="167" l="1"/>
  <c r="F70" i="167"/>
  <c r="E70" i="167" s="1"/>
  <c r="J70" i="165"/>
  <c r="F70" i="165"/>
  <c r="E70" i="165" s="1"/>
  <c r="F70" i="166"/>
  <c r="E70" i="166" s="1"/>
  <c r="J70" i="166"/>
  <c r="N70" i="166" l="1"/>
  <c r="P70" i="166" s="1"/>
  <c r="K70" i="166"/>
  <c r="K70" i="165"/>
  <c r="N70" i="165"/>
  <c r="P70" i="165" s="1"/>
  <c r="K70" i="167"/>
  <c r="N70" i="167"/>
  <c r="P70" i="167" s="1"/>
  <c r="L70" i="165" l="1"/>
  <c r="M70" i="165"/>
  <c r="O70" i="165" s="1"/>
  <c r="G71" i="165"/>
  <c r="B70" i="165"/>
  <c r="G71" i="166"/>
  <c r="R71" i="166" s="1"/>
  <c r="M70" i="166"/>
  <c r="O70" i="166" s="1"/>
  <c r="B70" i="166"/>
  <c r="L70" i="166"/>
  <c r="L70" i="167"/>
  <c r="G71" i="167"/>
  <c r="R71" i="167" s="1"/>
  <c r="M70" i="167"/>
  <c r="O70" i="167" s="1"/>
  <c r="B70" i="167"/>
  <c r="T70" i="166" l="1"/>
  <c r="C71" i="166"/>
  <c r="R71" i="165"/>
  <c r="C71" i="167"/>
  <c r="T70" i="167"/>
  <c r="T70" i="165"/>
  <c r="C71" i="165"/>
  <c r="J71" i="167" l="1"/>
  <c r="F71" i="167"/>
  <c r="E71" i="167" s="1"/>
  <c r="J71" i="165"/>
  <c r="F71" i="165"/>
  <c r="E71" i="165" s="1"/>
  <c r="F71" i="166"/>
  <c r="E71" i="166" s="1"/>
  <c r="J71" i="166"/>
  <c r="N71" i="167" l="1"/>
  <c r="P71" i="167" s="1"/>
  <c r="K71" i="167"/>
  <c r="N71" i="166"/>
  <c r="P71" i="166" s="1"/>
  <c r="K71" i="166"/>
  <c r="K71" i="165"/>
  <c r="N71" i="165"/>
  <c r="P71" i="165" s="1"/>
  <c r="L71" i="166" l="1"/>
  <c r="M71" i="166"/>
  <c r="O71" i="166" s="1"/>
  <c r="G72" i="166"/>
  <c r="R72" i="166" s="1"/>
  <c r="B71" i="166"/>
  <c r="G72" i="167"/>
  <c r="R72" i="167" s="1"/>
  <c r="M71" i="167"/>
  <c r="O71" i="167" s="1"/>
  <c r="B71" i="167"/>
  <c r="L71" i="167"/>
  <c r="L71" i="165"/>
  <c r="G72" i="165"/>
  <c r="M71" i="165"/>
  <c r="O71" i="165" s="1"/>
  <c r="B71" i="165"/>
  <c r="C72" i="167" l="1"/>
  <c r="T71" i="167"/>
  <c r="R72" i="165"/>
  <c r="C72" i="165"/>
  <c r="T71" i="165"/>
  <c r="T71" i="166"/>
  <c r="C72" i="166"/>
  <c r="J72" i="165" l="1"/>
  <c r="F72" i="165"/>
  <c r="E72" i="165" s="1"/>
  <c r="J72" i="166"/>
  <c r="F72" i="166"/>
  <c r="E72" i="166" s="1"/>
  <c r="J72" i="167"/>
  <c r="F72" i="167"/>
  <c r="E72" i="167" s="1"/>
  <c r="K72" i="166" l="1"/>
  <c r="N72" i="166"/>
  <c r="P72" i="166" s="1"/>
  <c r="K72" i="167"/>
  <c r="N72" i="167"/>
  <c r="P72" i="167" s="1"/>
  <c r="K72" i="165"/>
  <c r="N72" i="165"/>
  <c r="P72" i="165" s="1"/>
  <c r="G73" i="167" l="1"/>
  <c r="R73" i="167" s="1"/>
  <c r="B72" i="167"/>
  <c r="M72" i="167"/>
  <c r="O72" i="167" s="1"/>
  <c r="L72" i="167"/>
  <c r="G73" i="165"/>
  <c r="B72" i="165"/>
  <c r="M72" i="165"/>
  <c r="O72" i="165" s="1"/>
  <c r="L72" i="165"/>
  <c r="B72" i="166"/>
  <c r="M72" i="166"/>
  <c r="O72" i="166" s="1"/>
  <c r="L72" i="166"/>
  <c r="G73" i="166"/>
  <c r="R73" i="166" s="1"/>
  <c r="T72" i="165" l="1"/>
  <c r="C73" i="165"/>
  <c r="T72" i="167"/>
  <c r="C73" i="167"/>
  <c r="T72" i="166"/>
  <c r="C73" i="166"/>
  <c r="R73" i="165"/>
  <c r="J73" i="166" l="1"/>
  <c r="F73" i="166"/>
  <c r="E73" i="166" s="1"/>
  <c r="J73" i="165"/>
  <c r="F73" i="165"/>
  <c r="E73" i="165" s="1"/>
  <c r="J73" i="167"/>
  <c r="F73" i="167"/>
  <c r="E73" i="167" s="1"/>
  <c r="N73" i="167" l="1"/>
  <c r="P73" i="167" s="1"/>
  <c r="K73" i="167"/>
  <c r="N73" i="166"/>
  <c r="P73" i="166" s="1"/>
  <c r="K73" i="166"/>
  <c r="K73" i="165"/>
  <c r="N73" i="165"/>
  <c r="P73" i="165" s="1"/>
  <c r="M73" i="166" l="1"/>
  <c r="O73" i="166" s="1"/>
  <c r="B73" i="166"/>
  <c r="L73" i="166"/>
  <c r="G74" i="166"/>
  <c r="R74" i="166" s="1"/>
  <c r="B73" i="167"/>
  <c r="L73" i="167"/>
  <c r="M73" i="167"/>
  <c r="O73" i="167" s="1"/>
  <c r="G74" i="167"/>
  <c r="R74" i="167" s="1"/>
  <c r="L73" i="165"/>
  <c r="G74" i="165"/>
  <c r="M73" i="165"/>
  <c r="O73" i="165" s="1"/>
  <c r="B73" i="165"/>
  <c r="C74" i="166" l="1"/>
  <c r="T73" i="166"/>
  <c r="R74" i="165"/>
  <c r="C74" i="167"/>
  <c r="T73" i="167"/>
  <c r="T73" i="165"/>
  <c r="C74" i="165"/>
  <c r="F74" i="167" l="1"/>
  <c r="E74" i="167" s="1"/>
  <c r="J74" i="167"/>
  <c r="J74" i="165"/>
  <c r="F74" i="165"/>
  <c r="E74" i="165" s="1"/>
  <c r="F74" i="166"/>
  <c r="E74" i="166" s="1"/>
  <c r="J74" i="166"/>
  <c r="N74" i="165" l="1"/>
  <c r="P74" i="165" s="1"/>
  <c r="K74" i="165"/>
  <c r="N74" i="166"/>
  <c r="P74" i="166" s="1"/>
  <c r="K74" i="166"/>
  <c r="N74" i="167"/>
  <c r="P74" i="167" s="1"/>
  <c r="K74" i="167"/>
  <c r="G75" i="166" l="1"/>
  <c r="R75" i="166" s="1"/>
  <c r="M74" i="166"/>
  <c r="O74" i="166" s="1"/>
  <c r="B74" i="166"/>
  <c r="L74" i="166"/>
  <c r="M74" i="167"/>
  <c r="O74" i="167" s="1"/>
  <c r="L74" i="167"/>
  <c r="G75" i="167"/>
  <c r="R75" i="167" s="1"/>
  <c r="B74" i="167"/>
  <c r="L74" i="165"/>
  <c r="G75" i="165"/>
  <c r="M74" i="165"/>
  <c r="O74" i="165" s="1"/>
  <c r="B74" i="165"/>
  <c r="T74" i="167" l="1"/>
  <c r="C75" i="167"/>
  <c r="T74" i="166"/>
  <c r="C75" i="166"/>
  <c r="R75" i="165"/>
  <c r="C75" i="165"/>
  <c r="T74" i="165"/>
  <c r="J75" i="167" l="1"/>
  <c r="F75" i="167"/>
  <c r="E75" i="167" s="1"/>
  <c r="F75" i="165"/>
  <c r="E75" i="165" s="1"/>
  <c r="J75" i="165"/>
  <c r="F75" i="166"/>
  <c r="E75" i="166" s="1"/>
  <c r="J75" i="166"/>
  <c r="K75" i="166" l="1"/>
  <c r="N75" i="166"/>
  <c r="P75" i="166" s="1"/>
  <c r="N75" i="165"/>
  <c r="P75" i="165" s="1"/>
  <c r="K75" i="165"/>
  <c r="K75" i="167"/>
  <c r="N75" i="167"/>
  <c r="P75" i="167" s="1"/>
  <c r="L75" i="165" l="1"/>
  <c r="M75" i="165"/>
  <c r="O75" i="165" s="1"/>
  <c r="G76" i="165"/>
  <c r="B75" i="165"/>
  <c r="G76" i="167"/>
  <c r="R76" i="167" s="1"/>
  <c r="M75" i="167"/>
  <c r="O75" i="167" s="1"/>
  <c r="B75" i="167"/>
  <c r="L75" i="167"/>
  <c r="B75" i="166"/>
  <c r="L75" i="166"/>
  <c r="M75" i="166"/>
  <c r="O75" i="166" s="1"/>
  <c r="G76" i="166"/>
  <c r="R76" i="166" s="1"/>
  <c r="R76" i="165" l="1"/>
  <c r="T75" i="167"/>
  <c r="C76" i="167"/>
  <c r="C76" i="166"/>
  <c r="T75" i="166"/>
  <c r="T75" i="165"/>
  <c r="C76" i="165"/>
  <c r="F76" i="167" l="1"/>
  <c r="E76" i="167" s="1"/>
  <c r="J76" i="167"/>
  <c r="J76" i="165"/>
  <c r="F76" i="165"/>
  <c r="E76" i="165" s="1"/>
  <c r="J76" i="166"/>
  <c r="F76" i="166"/>
  <c r="E76" i="166" s="1"/>
  <c r="N76" i="166" l="1"/>
  <c r="P76" i="166" s="1"/>
  <c r="K76" i="166"/>
  <c r="K76" i="167"/>
  <c r="N76" i="167"/>
  <c r="P76" i="167" s="1"/>
  <c r="K76" i="165"/>
  <c r="N76" i="165"/>
  <c r="P76" i="165" s="1"/>
  <c r="L76" i="167" l="1"/>
  <c r="M76" i="167"/>
  <c r="O76" i="167" s="1"/>
  <c r="B76" i="167"/>
  <c r="G77" i="167"/>
  <c r="R77" i="167" s="1"/>
  <c r="B76" i="166"/>
  <c r="L76" i="166"/>
  <c r="G77" i="166"/>
  <c r="R77" i="166" s="1"/>
  <c r="M76" i="166"/>
  <c r="O76" i="166" s="1"/>
  <c r="L76" i="165"/>
  <c r="G77" i="165"/>
  <c r="M76" i="165"/>
  <c r="O76" i="165" s="1"/>
  <c r="B76" i="165"/>
  <c r="R77" i="165" l="1"/>
  <c r="C77" i="166"/>
  <c r="T76" i="166"/>
  <c r="C77" i="165"/>
  <c r="T76" i="165"/>
  <c r="T76" i="167"/>
  <c r="C77" i="167"/>
  <c r="F77" i="165" l="1"/>
  <c r="E77" i="165" s="1"/>
  <c r="J77" i="165"/>
  <c r="F77" i="167"/>
  <c r="E77" i="167" s="1"/>
  <c r="J77" i="167"/>
  <c r="J77" i="166"/>
  <c r="F77" i="166"/>
  <c r="E77" i="166" s="1"/>
  <c r="N77" i="167" l="1"/>
  <c r="P77" i="167" s="1"/>
  <c r="K77" i="167"/>
  <c r="N77" i="165"/>
  <c r="P77" i="165" s="1"/>
  <c r="K77" i="165"/>
  <c r="K77" i="166"/>
  <c r="N77" i="166"/>
  <c r="P77" i="166" s="1"/>
  <c r="L77" i="165" l="1"/>
  <c r="M77" i="165"/>
  <c r="O77" i="165" s="1"/>
  <c r="G78" i="165"/>
  <c r="B77" i="165"/>
  <c r="L77" i="167"/>
  <c r="M77" i="167"/>
  <c r="O77" i="167" s="1"/>
  <c r="B77" i="167"/>
  <c r="G78" i="167"/>
  <c r="R78" i="167" s="1"/>
  <c r="M77" i="166"/>
  <c r="O77" i="166" s="1"/>
  <c r="B77" i="166"/>
  <c r="L77" i="166"/>
  <c r="G78" i="166"/>
  <c r="R78" i="166" s="1"/>
  <c r="C78" i="166" l="1"/>
  <c r="T77" i="166"/>
  <c r="R78" i="165"/>
  <c r="T77" i="167"/>
  <c r="C78" i="167"/>
  <c r="T77" i="165"/>
  <c r="C78" i="165"/>
  <c r="F78" i="165" l="1"/>
  <c r="E78" i="165" s="1"/>
  <c r="J78" i="165"/>
  <c r="F78" i="166"/>
  <c r="E78" i="166" s="1"/>
  <c r="J78" i="166"/>
  <c r="J78" i="167"/>
  <c r="F78" i="167"/>
  <c r="E78" i="167" s="1"/>
  <c r="N78" i="167" l="1"/>
  <c r="P78" i="167" s="1"/>
  <c r="K78" i="167"/>
  <c r="K78" i="165"/>
  <c r="N78" i="165"/>
  <c r="P78" i="165" s="1"/>
  <c r="K78" i="166"/>
  <c r="N78" i="166"/>
  <c r="P78" i="166" s="1"/>
  <c r="M78" i="165" l="1"/>
  <c r="O78" i="165" s="1"/>
  <c r="B78" i="165"/>
  <c r="L78" i="165"/>
  <c r="G79" i="165"/>
  <c r="L78" i="167"/>
  <c r="B78" i="167"/>
  <c r="G79" i="167"/>
  <c r="R79" i="167" s="1"/>
  <c r="M78" i="167"/>
  <c r="O78" i="167" s="1"/>
  <c r="L78" i="166"/>
  <c r="M78" i="166"/>
  <c r="O78" i="166" s="1"/>
  <c r="G79" i="166"/>
  <c r="R79" i="166" s="1"/>
  <c r="B78" i="166"/>
  <c r="R79" i="165" l="1"/>
  <c r="T78" i="165"/>
  <c r="C79" i="165"/>
  <c r="C79" i="166"/>
  <c r="T78" i="166"/>
  <c r="C79" i="167"/>
  <c r="T78" i="167"/>
  <c r="J79" i="167" l="1"/>
  <c r="F79" i="167"/>
  <c r="E79" i="167" s="1"/>
  <c r="J79" i="166"/>
  <c r="F79" i="166"/>
  <c r="E79" i="166" s="1"/>
  <c r="F79" i="165"/>
  <c r="E79" i="165" s="1"/>
  <c r="J79" i="165"/>
  <c r="N79" i="165" l="1"/>
  <c r="P79" i="165" s="1"/>
  <c r="K79" i="165"/>
  <c r="K79" i="167"/>
  <c r="N79" i="167"/>
  <c r="P79" i="167" s="1"/>
  <c r="K79" i="166"/>
  <c r="N79" i="166"/>
  <c r="P79" i="166" s="1"/>
  <c r="G80" i="167" l="1"/>
  <c r="R80" i="167" s="1"/>
  <c r="M79" i="167"/>
  <c r="O79" i="167" s="1"/>
  <c r="B79" i="167"/>
  <c r="L79" i="167"/>
  <c r="L79" i="165"/>
  <c r="G80" i="165"/>
  <c r="M79" i="165"/>
  <c r="O79" i="165" s="1"/>
  <c r="B79" i="165"/>
  <c r="B79" i="166"/>
  <c r="L79" i="166"/>
  <c r="G80" i="166"/>
  <c r="R80" i="166" s="1"/>
  <c r="M79" i="166"/>
  <c r="O79" i="166" s="1"/>
  <c r="C80" i="167" l="1"/>
  <c r="T79" i="167"/>
  <c r="R80" i="165"/>
  <c r="T79" i="166"/>
  <c r="C80" i="166"/>
  <c r="C80" i="165"/>
  <c r="T79" i="165"/>
  <c r="J80" i="165" l="1"/>
  <c r="F80" i="165"/>
  <c r="E80" i="165" s="1"/>
  <c r="F80" i="166"/>
  <c r="E80" i="166" s="1"/>
  <c r="J80" i="166"/>
  <c r="J80" i="167"/>
  <c r="F80" i="167"/>
  <c r="E80" i="167" s="1"/>
  <c r="K80" i="166" l="1"/>
  <c r="N80" i="166"/>
  <c r="P80" i="166" s="1"/>
  <c r="K80" i="167"/>
  <c r="N80" i="167"/>
  <c r="P80" i="167" s="1"/>
  <c r="K80" i="165"/>
  <c r="N80" i="165"/>
  <c r="P80" i="165" s="1"/>
  <c r="M80" i="167" l="1"/>
  <c r="O80" i="167" s="1"/>
  <c r="G81" i="167"/>
  <c r="R81" i="167" s="1"/>
  <c r="L80" i="167"/>
  <c r="B80" i="167"/>
  <c r="M80" i="165"/>
  <c r="O80" i="165" s="1"/>
  <c r="L80" i="165"/>
  <c r="G81" i="165"/>
  <c r="B80" i="165"/>
  <c r="G81" i="166"/>
  <c r="R81" i="166" s="1"/>
  <c r="B80" i="166"/>
  <c r="M80" i="166"/>
  <c r="O80" i="166" s="1"/>
  <c r="L80" i="166"/>
  <c r="T80" i="166" l="1"/>
  <c r="C81" i="166"/>
  <c r="R81" i="165"/>
  <c r="T80" i="167"/>
  <c r="C81" i="167"/>
  <c r="T80" i="165"/>
  <c r="C81" i="165"/>
  <c r="F81" i="167" l="1"/>
  <c r="E81" i="167" s="1"/>
  <c r="J81" i="167"/>
  <c r="F81" i="166"/>
  <c r="E81" i="166" s="1"/>
  <c r="J81" i="166"/>
  <c r="F81" i="165"/>
  <c r="E81" i="165" s="1"/>
  <c r="J81" i="165"/>
  <c r="N81" i="165" l="1"/>
  <c r="P81" i="165" s="1"/>
  <c r="K81" i="165"/>
  <c r="N81" i="166"/>
  <c r="P81" i="166" s="1"/>
  <c r="K81" i="166"/>
  <c r="K81" i="167"/>
  <c r="N81" i="167"/>
  <c r="P81" i="167" s="1"/>
  <c r="L81" i="166" l="1"/>
  <c r="M81" i="166"/>
  <c r="O81" i="166" s="1"/>
  <c r="B81" i="166"/>
  <c r="G82" i="166"/>
  <c r="R82" i="166" s="1"/>
  <c r="L81" i="165"/>
  <c r="G82" i="165"/>
  <c r="M81" i="165"/>
  <c r="O81" i="165" s="1"/>
  <c r="B81" i="165"/>
  <c r="G82" i="167"/>
  <c r="R82" i="167" s="1"/>
  <c r="M81" i="167"/>
  <c r="O81" i="167" s="1"/>
  <c r="B81" i="167"/>
  <c r="L81" i="167"/>
  <c r="T81" i="167" l="1"/>
  <c r="C82" i="167"/>
  <c r="R82" i="165"/>
  <c r="C82" i="165"/>
  <c r="T81" i="165"/>
  <c r="C82" i="166"/>
  <c r="T81" i="166"/>
  <c r="F82" i="165" l="1"/>
  <c r="E82" i="165" s="1"/>
  <c r="J82" i="165"/>
  <c r="F82" i="167"/>
  <c r="E82" i="167" s="1"/>
  <c r="J82" i="167"/>
  <c r="J82" i="166"/>
  <c r="F82" i="166"/>
  <c r="E82" i="166" s="1"/>
  <c r="K82" i="167" l="1"/>
  <c r="N82" i="167"/>
  <c r="P82" i="167" s="1"/>
  <c r="N82" i="165"/>
  <c r="P82" i="165" s="1"/>
  <c r="K82" i="165"/>
  <c r="K82" i="166"/>
  <c r="N82" i="166"/>
  <c r="P82" i="166" s="1"/>
  <c r="L82" i="165" l="1"/>
  <c r="M82" i="165"/>
  <c r="O82" i="165" s="1"/>
  <c r="B82" i="165"/>
  <c r="G83" i="165"/>
  <c r="B82" i="166"/>
  <c r="L82" i="166"/>
  <c r="G83" i="166"/>
  <c r="R83" i="166" s="1"/>
  <c r="M82" i="166"/>
  <c r="O82" i="166" s="1"/>
  <c r="B82" i="167"/>
  <c r="L82" i="167"/>
  <c r="M82" i="167"/>
  <c r="O82" i="167" s="1"/>
  <c r="G83" i="167"/>
  <c r="R83" i="167" s="1"/>
  <c r="R83" i="165" l="1"/>
  <c r="T82" i="167"/>
  <c r="C83" i="167"/>
  <c r="T82" i="166"/>
  <c r="C83" i="166"/>
  <c r="C83" i="165"/>
  <c r="T82" i="165"/>
  <c r="J83" i="167" l="1"/>
  <c r="F83" i="167"/>
  <c r="E83" i="167" s="1"/>
  <c r="F83" i="165"/>
  <c r="E83" i="165" s="1"/>
  <c r="J83" i="165"/>
  <c r="J83" i="166"/>
  <c r="F83" i="166"/>
  <c r="E83" i="166" s="1"/>
  <c r="N83" i="166" l="1"/>
  <c r="P83" i="166" s="1"/>
  <c r="K83" i="166"/>
  <c r="K83" i="165"/>
  <c r="N83" i="165"/>
  <c r="P83" i="165" s="1"/>
  <c r="N83" i="167"/>
  <c r="P83" i="167" s="1"/>
  <c r="K83" i="167"/>
  <c r="L83" i="165" l="1"/>
  <c r="M83" i="165"/>
  <c r="O83" i="165" s="1"/>
  <c r="G84" i="165"/>
  <c r="B83" i="165"/>
  <c r="G84" i="167"/>
  <c r="R84" i="167" s="1"/>
  <c r="M83" i="167"/>
  <c r="O83" i="167" s="1"/>
  <c r="B83" i="167"/>
  <c r="L83" i="167"/>
  <c r="L83" i="166"/>
  <c r="G84" i="166"/>
  <c r="R84" i="166" s="1"/>
  <c r="M83" i="166"/>
  <c r="O83" i="166" s="1"/>
  <c r="B83" i="166"/>
  <c r="R84" i="165" l="1"/>
  <c r="C84" i="167"/>
  <c r="T83" i="167"/>
  <c r="C84" i="166"/>
  <c r="T83" i="166"/>
  <c r="C84" i="165"/>
  <c r="T83" i="165"/>
  <c r="F84" i="166" l="1"/>
  <c r="E84" i="166" s="1"/>
  <c r="J84" i="166"/>
  <c r="J84" i="165"/>
  <c r="F84" i="165"/>
  <c r="E84" i="165" s="1"/>
  <c r="J84" i="167"/>
  <c r="F84" i="167"/>
  <c r="E84" i="167" s="1"/>
  <c r="K84" i="165" l="1"/>
  <c r="N84" i="165"/>
  <c r="P84" i="165" s="1"/>
  <c r="K84" i="167"/>
  <c r="N84" i="167"/>
  <c r="P84" i="167" s="1"/>
  <c r="K84" i="166"/>
  <c r="N84" i="166"/>
  <c r="P84" i="166" s="1"/>
  <c r="M84" i="167" l="1"/>
  <c r="O84" i="167" s="1"/>
  <c r="G85" i="167"/>
  <c r="R85" i="167" s="1"/>
  <c r="B84" i="167"/>
  <c r="L84" i="167"/>
  <c r="L84" i="166"/>
  <c r="G85" i="166"/>
  <c r="R85" i="166" s="1"/>
  <c r="B84" i="166"/>
  <c r="M84" i="166"/>
  <c r="O84" i="166" s="1"/>
  <c r="B84" i="165"/>
  <c r="L84" i="165"/>
  <c r="G85" i="165"/>
  <c r="M84" i="165"/>
  <c r="O84" i="165" s="1"/>
  <c r="C85" i="167" l="1"/>
  <c r="T84" i="167"/>
  <c r="R85" i="165"/>
  <c r="C85" i="165"/>
  <c r="T84" i="165"/>
  <c r="T84" i="166"/>
  <c r="C85" i="166"/>
  <c r="F85" i="165" l="1"/>
  <c r="E85" i="165" s="1"/>
  <c r="J85" i="165"/>
  <c r="F85" i="166"/>
  <c r="E85" i="166" s="1"/>
  <c r="J85" i="166"/>
  <c r="F85" i="167"/>
  <c r="E85" i="167" s="1"/>
  <c r="J85" i="167"/>
  <c r="N85" i="167" l="1"/>
  <c r="P85" i="167" s="1"/>
  <c r="K85" i="167"/>
  <c r="N85" i="165"/>
  <c r="P85" i="165" s="1"/>
  <c r="K85" i="165"/>
  <c r="K85" i="166"/>
  <c r="N85" i="166"/>
  <c r="P85" i="166" s="1"/>
  <c r="M85" i="165" l="1"/>
  <c r="O85" i="165" s="1"/>
  <c r="L85" i="165"/>
  <c r="G86" i="165"/>
  <c r="B85" i="165"/>
  <c r="B85" i="167"/>
  <c r="L85" i="167"/>
  <c r="G86" i="167"/>
  <c r="R86" i="167" s="1"/>
  <c r="M85" i="167"/>
  <c r="O85" i="167" s="1"/>
  <c r="M85" i="166"/>
  <c r="O85" i="166" s="1"/>
  <c r="G86" i="166"/>
  <c r="R86" i="166" s="1"/>
  <c r="B85" i="166"/>
  <c r="L85" i="166"/>
  <c r="T85" i="166" l="1"/>
  <c r="C86" i="166"/>
  <c r="R86" i="165"/>
  <c r="T85" i="167"/>
  <c r="C86" i="167"/>
  <c r="C86" i="165"/>
  <c r="T85" i="165"/>
  <c r="F86" i="165" l="1"/>
  <c r="E86" i="165" s="1"/>
  <c r="J86" i="165"/>
  <c r="F86" i="167"/>
  <c r="E86" i="167" s="1"/>
  <c r="J86" i="167"/>
  <c r="F86" i="166"/>
  <c r="E86" i="166" s="1"/>
  <c r="J86" i="166"/>
  <c r="K86" i="165" l="1"/>
  <c r="N86" i="165"/>
  <c r="P86" i="165" s="1"/>
  <c r="K86" i="167"/>
  <c r="N86" i="167"/>
  <c r="P86" i="167" s="1"/>
  <c r="N86" i="166"/>
  <c r="P86" i="166" s="1"/>
  <c r="K86" i="166"/>
  <c r="M86" i="167" l="1"/>
  <c r="O86" i="167" s="1"/>
  <c r="B86" i="167"/>
  <c r="G87" i="167"/>
  <c r="R87" i="167" s="1"/>
  <c r="R17" i="167" s="1"/>
  <c r="L86" i="167"/>
  <c r="B86" i="166"/>
  <c r="L86" i="166"/>
  <c r="G87" i="166"/>
  <c r="R87" i="166" s="1"/>
  <c r="R17" i="166" s="1"/>
  <c r="M86" i="166"/>
  <c r="O86" i="166" s="1"/>
  <c r="L86" i="165"/>
  <c r="G87" i="165"/>
  <c r="M86" i="165"/>
  <c r="O86" i="165" s="1"/>
  <c r="B86" i="165"/>
  <c r="T86" i="167" l="1"/>
  <c r="C87" i="167"/>
  <c r="R87" i="165"/>
  <c r="R17" i="165" s="1"/>
  <c r="C87" i="166"/>
  <c r="T86" i="166"/>
  <c r="C87" i="165"/>
  <c r="T86" i="165"/>
  <c r="J87" i="166" l="1"/>
  <c r="F87" i="166"/>
  <c r="E87" i="166" s="1"/>
  <c r="J87" i="167"/>
  <c r="F87" i="167"/>
  <c r="E87" i="167" s="1"/>
  <c r="J87" i="165"/>
  <c r="F87" i="165"/>
  <c r="E87" i="165" s="1"/>
  <c r="K87" i="165" l="1"/>
  <c r="N87" i="165"/>
  <c r="P87" i="165" s="1"/>
  <c r="P17" i="165" s="1"/>
  <c r="W60" i="162" s="1"/>
  <c r="N87" i="166"/>
  <c r="P87" i="166" s="1"/>
  <c r="P17" i="166" s="1"/>
  <c r="K87" i="166"/>
  <c r="K87" i="167"/>
  <c r="N87" i="167"/>
  <c r="P87" i="167" s="1"/>
  <c r="P17" i="167" s="1"/>
  <c r="B87" i="166" l="1"/>
  <c r="L87" i="166"/>
  <c r="M87" i="166"/>
  <c r="O87" i="166" s="1"/>
  <c r="G88" i="166"/>
  <c r="R88" i="166" s="1"/>
  <c r="G88" i="167"/>
  <c r="R88" i="167" s="1"/>
  <c r="B87" i="167"/>
  <c r="L87" i="167"/>
  <c r="M87" i="167"/>
  <c r="O87" i="167" s="1"/>
  <c r="L87" i="165"/>
  <c r="M87" i="165"/>
  <c r="O87" i="165" s="1"/>
  <c r="G88" i="165"/>
  <c r="B87" i="165"/>
  <c r="R88" i="165" l="1"/>
  <c r="C88" i="167"/>
  <c r="T87" i="167"/>
  <c r="T17" i="167" s="1"/>
  <c r="T87" i="166"/>
  <c r="T17" i="166" s="1"/>
  <c r="C88" i="166"/>
  <c r="T87" i="165"/>
  <c r="T17" i="165" s="1"/>
  <c r="AF60" i="162" s="1"/>
  <c r="C88" i="165"/>
  <c r="J88" i="166" l="1"/>
  <c r="F88" i="166"/>
  <c r="E88" i="166" s="1"/>
  <c r="J88" i="167"/>
  <c r="F88" i="167"/>
  <c r="E88" i="167" s="1"/>
  <c r="F88" i="165"/>
  <c r="E88" i="165" s="1"/>
  <c r="J88" i="165"/>
  <c r="K88" i="167" l="1"/>
  <c r="N88" i="167"/>
  <c r="P88" i="167" s="1"/>
  <c r="N88" i="165"/>
  <c r="P88" i="165" s="1"/>
  <c r="K88" i="165"/>
  <c r="N88" i="166"/>
  <c r="P88" i="166" s="1"/>
  <c r="K88" i="166"/>
  <c r="L88" i="165" l="1"/>
  <c r="G89" i="165"/>
  <c r="M88" i="165"/>
  <c r="O88" i="165" s="1"/>
  <c r="B88" i="165"/>
  <c r="B88" i="166"/>
  <c r="L88" i="166"/>
  <c r="M88" i="166"/>
  <c r="O88" i="166" s="1"/>
  <c r="G89" i="166"/>
  <c r="R89" i="166" s="1"/>
  <c r="G89" i="167"/>
  <c r="R89" i="167" s="1"/>
  <c r="M88" i="167"/>
  <c r="O88" i="167" s="1"/>
  <c r="L88" i="167"/>
  <c r="B88" i="167"/>
  <c r="T88" i="166" l="1"/>
  <c r="C89" i="166"/>
  <c r="R89" i="165"/>
  <c r="T88" i="167"/>
  <c r="C89" i="167"/>
  <c r="C89" i="165"/>
  <c r="T88" i="165"/>
  <c r="F89" i="167" l="1"/>
  <c r="E89" i="167" s="1"/>
  <c r="J89" i="167"/>
  <c r="J89" i="166"/>
  <c r="F89" i="166"/>
  <c r="E89" i="166" s="1"/>
  <c r="J89" i="165"/>
  <c r="F89" i="165"/>
  <c r="E89" i="165" s="1"/>
  <c r="N89" i="166" l="1"/>
  <c r="P89" i="166" s="1"/>
  <c r="K89" i="166"/>
  <c r="N89" i="165"/>
  <c r="P89" i="165" s="1"/>
  <c r="K89" i="165"/>
  <c r="K89" i="167"/>
  <c r="N89" i="167"/>
  <c r="P89" i="167" s="1"/>
  <c r="M89" i="165" l="1"/>
  <c r="O89" i="165" s="1"/>
  <c r="B89" i="165"/>
  <c r="L89" i="165"/>
  <c r="G90" i="165"/>
  <c r="B89" i="166"/>
  <c r="L89" i="166"/>
  <c r="G90" i="166"/>
  <c r="R90" i="166" s="1"/>
  <c r="M89" i="166"/>
  <c r="O89" i="166" s="1"/>
  <c r="G90" i="167"/>
  <c r="R90" i="167" s="1"/>
  <c r="M89" i="167"/>
  <c r="O89" i="167" s="1"/>
  <c r="B89" i="167"/>
  <c r="L89" i="167"/>
  <c r="R90" i="165" l="1"/>
  <c r="T89" i="165"/>
  <c r="C90" i="165"/>
  <c r="T89" i="167"/>
  <c r="C90" i="167"/>
  <c r="T89" i="166"/>
  <c r="C90" i="166"/>
  <c r="F90" i="167" l="1"/>
  <c r="E90" i="167" s="1"/>
  <c r="J90" i="167"/>
  <c r="J90" i="166"/>
  <c r="F90" i="166"/>
  <c r="E90" i="166" s="1"/>
  <c r="J90" i="165"/>
  <c r="F90" i="165"/>
  <c r="E90" i="165" s="1"/>
  <c r="K90" i="166" l="1"/>
  <c r="N90" i="166"/>
  <c r="P90" i="166" s="1"/>
  <c r="K90" i="167"/>
  <c r="N90" i="167"/>
  <c r="P90" i="167" s="1"/>
  <c r="N90" i="165"/>
  <c r="P90" i="165" s="1"/>
  <c r="K90" i="165"/>
  <c r="G91" i="167" l="1"/>
  <c r="R91" i="167" s="1"/>
  <c r="M90" i="167"/>
  <c r="O90" i="167" s="1"/>
  <c r="B90" i="167"/>
  <c r="L90" i="167"/>
  <c r="L90" i="165"/>
  <c r="B90" i="165"/>
  <c r="G91" i="165"/>
  <c r="M90" i="165"/>
  <c r="O90" i="165" s="1"/>
  <c r="G91" i="166"/>
  <c r="R91" i="166" s="1"/>
  <c r="B90" i="166"/>
  <c r="M90" i="166"/>
  <c r="O90" i="166" s="1"/>
  <c r="L90" i="166"/>
  <c r="T90" i="166" l="1"/>
  <c r="C91" i="166"/>
  <c r="T90" i="167"/>
  <c r="C91" i="167"/>
  <c r="R91" i="165"/>
  <c r="C91" i="165"/>
  <c r="T90" i="165"/>
  <c r="J91" i="166" l="1"/>
  <c r="F91" i="166"/>
  <c r="E91" i="166" s="1"/>
  <c r="J91" i="165"/>
  <c r="F91" i="165"/>
  <c r="E91" i="165" s="1"/>
  <c r="F91" i="167"/>
  <c r="E91" i="167" s="1"/>
  <c r="J91" i="167"/>
  <c r="K91" i="166" l="1"/>
  <c r="N91" i="166"/>
  <c r="P91" i="166" s="1"/>
  <c r="K91" i="167"/>
  <c r="N91" i="167"/>
  <c r="P91" i="167" s="1"/>
  <c r="N91" i="165"/>
  <c r="P91" i="165" s="1"/>
  <c r="K91" i="165"/>
  <c r="L91" i="167" l="1"/>
  <c r="B91" i="167"/>
  <c r="M91" i="167"/>
  <c r="O91" i="167" s="1"/>
  <c r="G92" i="167"/>
  <c r="R92" i="167" s="1"/>
  <c r="B91" i="165"/>
  <c r="L91" i="165"/>
  <c r="G92" i="165"/>
  <c r="M91" i="165"/>
  <c r="O91" i="165" s="1"/>
  <c r="M91" i="166"/>
  <c r="O91" i="166" s="1"/>
  <c r="B91" i="166"/>
  <c r="L91" i="166"/>
  <c r="G92" i="166"/>
  <c r="R92" i="166" s="1"/>
  <c r="R92" i="165" l="1"/>
  <c r="T91" i="166"/>
  <c r="C92" i="166"/>
  <c r="C92" i="165"/>
  <c r="T91" i="165"/>
  <c r="T91" i="167"/>
  <c r="C92" i="167"/>
  <c r="J92" i="167" l="1"/>
  <c r="F92" i="167"/>
  <c r="E92" i="167" s="1"/>
  <c r="J92" i="165"/>
  <c r="F92" i="165"/>
  <c r="E92" i="165" s="1"/>
  <c r="J92" i="166"/>
  <c r="F92" i="166"/>
  <c r="E92" i="166" s="1"/>
  <c r="N92" i="165" l="1"/>
  <c r="P92" i="165" s="1"/>
  <c r="K92" i="165"/>
  <c r="N92" i="166"/>
  <c r="P92" i="166" s="1"/>
  <c r="K92" i="166"/>
  <c r="N92" i="167"/>
  <c r="P92" i="167" s="1"/>
  <c r="K92" i="167"/>
  <c r="G93" i="166" l="1"/>
  <c r="R93" i="166" s="1"/>
  <c r="B92" i="166"/>
  <c r="L92" i="166"/>
  <c r="M92" i="166"/>
  <c r="O92" i="166" s="1"/>
  <c r="G93" i="167"/>
  <c r="R93" i="167" s="1"/>
  <c r="B92" i="167"/>
  <c r="L92" i="167"/>
  <c r="M92" i="167"/>
  <c r="O92" i="167" s="1"/>
  <c r="L92" i="165"/>
  <c r="M92" i="165"/>
  <c r="O92" i="165" s="1"/>
  <c r="B92" i="165"/>
  <c r="G93" i="165"/>
  <c r="T92" i="167" l="1"/>
  <c r="C93" i="167"/>
  <c r="C93" i="166"/>
  <c r="T92" i="166"/>
  <c r="R93" i="165"/>
  <c r="C93" i="165"/>
  <c r="T92" i="165"/>
  <c r="F93" i="167" l="1"/>
  <c r="E93" i="167" s="1"/>
  <c r="J93" i="167"/>
  <c r="F93" i="165"/>
  <c r="E93" i="165" s="1"/>
  <c r="J93" i="165"/>
  <c r="J93" i="166"/>
  <c r="F93" i="166"/>
  <c r="E93" i="166" s="1"/>
  <c r="K93" i="167" l="1"/>
  <c r="N93" i="167"/>
  <c r="P93" i="167" s="1"/>
  <c r="N93" i="166"/>
  <c r="P93" i="166" s="1"/>
  <c r="K93" i="166"/>
  <c r="K93" i="165"/>
  <c r="N93" i="165"/>
  <c r="P93" i="165" s="1"/>
  <c r="L93" i="166" l="1"/>
  <c r="G94" i="166"/>
  <c r="R94" i="166" s="1"/>
  <c r="B93" i="166"/>
  <c r="M93" i="166"/>
  <c r="O93" i="166" s="1"/>
  <c r="L93" i="165"/>
  <c r="G94" i="165"/>
  <c r="M93" i="165"/>
  <c r="O93" i="165" s="1"/>
  <c r="B93" i="165"/>
  <c r="L93" i="167"/>
  <c r="M93" i="167"/>
  <c r="O93" i="167" s="1"/>
  <c r="B93" i="167"/>
  <c r="G94" i="167"/>
  <c r="R94" i="167" s="1"/>
  <c r="R94" i="165" l="1"/>
  <c r="T93" i="167"/>
  <c r="C94" i="167"/>
  <c r="C94" i="165"/>
  <c r="T93" i="165"/>
  <c r="C94" i="166"/>
  <c r="T93" i="166"/>
  <c r="J94" i="167" l="1"/>
  <c r="F94" i="167"/>
  <c r="E94" i="167" s="1"/>
  <c r="F94" i="165"/>
  <c r="E94" i="165" s="1"/>
  <c r="J94" i="165"/>
  <c r="F94" i="166"/>
  <c r="E94" i="166" s="1"/>
  <c r="J94" i="166"/>
  <c r="K94" i="165" l="1"/>
  <c r="N94" i="165"/>
  <c r="P94" i="165" s="1"/>
  <c r="N94" i="166"/>
  <c r="P94" i="166" s="1"/>
  <c r="K94" i="166"/>
  <c r="N94" i="167"/>
  <c r="P94" i="167" s="1"/>
  <c r="K94" i="167"/>
  <c r="G95" i="166" l="1"/>
  <c r="R95" i="166" s="1"/>
  <c r="M94" i="166"/>
  <c r="O94" i="166" s="1"/>
  <c r="B94" i="166"/>
  <c r="L94" i="166"/>
  <c r="L94" i="167"/>
  <c r="G95" i="167"/>
  <c r="R95" i="167" s="1"/>
  <c r="M94" i="167"/>
  <c r="O94" i="167" s="1"/>
  <c r="B94" i="167"/>
  <c r="L94" i="165"/>
  <c r="M94" i="165"/>
  <c r="O94" i="165" s="1"/>
  <c r="B94" i="165"/>
  <c r="G95" i="165"/>
  <c r="R95" i="165" l="1"/>
  <c r="T94" i="166"/>
  <c r="C95" i="166"/>
  <c r="C95" i="165"/>
  <c r="T94" i="165"/>
  <c r="C95" i="167"/>
  <c r="T94" i="167"/>
  <c r="J95" i="165" l="1"/>
  <c r="F95" i="165"/>
  <c r="E95" i="165" s="1"/>
  <c r="J95" i="167"/>
  <c r="F95" i="167"/>
  <c r="E95" i="167" s="1"/>
  <c r="J95" i="166"/>
  <c r="F95" i="166"/>
  <c r="E95" i="166" s="1"/>
  <c r="K95" i="167" l="1"/>
  <c r="N95" i="167"/>
  <c r="P95" i="167" s="1"/>
  <c r="N95" i="166"/>
  <c r="P95" i="166" s="1"/>
  <c r="K95" i="166"/>
  <c r="K95" i="165"/>
  <c r="N95" i="165"/>
  <c r="P95" i="165" s="1"/>
  <c r="L95" i="166" l="1"/>
  <c r="G96" i="166"/>
  <c r="R96" i="166" s="1"/>
  <c r="B95" i="166"/>
  <c r="M95" i="166"/>
  <c r="O95" i="166" s="1"/>
  <c r="M95" i="165"/>
  <c r="O95" i="165" s="1"/>
  <c r="G96" i="165"/>
  <c r="L95" i="165"/>
  <c r="B95" i="165"/>
  <c r="L95" i="167"/>
  <c r="M95" i="167"/>
  <c r="O95" i="167" s="1"/>
  <c r="B95" i="167"/>
  <c r="G96" i="167"/>
  <c r="R96" i="167" s="1"/>
  <c r="C96" i="165" l="1"/>
  <c r="T95" i="165"/>
  <c r="R96" i="165"/>
  <c r="C96" i="167"/>
  <c r="T95" i="167"/>
  <c r="T95" i="166"/>
  <c r="C96" i="166"/>
  <c r="F96" i="166" l="1"/>
  <c r="E96" i="166" s="1"/>
  <c r="J96" i="166"/>
  <c r="J96" i="167"/>
  <c r="F96" i="167"/>
  <c r="E96" i="167" s="1"/>
  <c r="F96" i="165"/>
  <c r="E96" i="165" s="1"/>
  <c r="J96" i="165"/>
  <c r="N96" i="166" l="1"/>
  <c r="P96" i="166" s="1"/>
  <c r="K96" i="166"/>
  <c r="K96" i="165"/>
  <c r="N96" i="165"/>
  <c r="P96" i="165" s="1"/>
  <c r="N96" i="167"/>
  <c r="P96" i="167" s="1"/>
  <c r="K96" i="167"/>
  <c r="L96" i="165" l="1"/>
  <c r="G97" i="165"/>
  <c r="M96" i="165"/>
  <c r="O96" i="165" s="1"/>
  <c r="B96" i="165"/>
  <c r="L96" i="167"/>
  <c r="G97" i="167"/>
  <c r="R97" i="167" s="1"/>
  <c r="M96" i="167"/>
  <c r="O96" i="167" s="1"/>
  <c r="B96" i="167"/>
  <c r="M96" i="166"/>
  <c r="O96" i="166" s="1"/>
  <c r="B96" i="166"/>
  <c r="L96" i="166"/>
  <c r="G97" i="166"/>
  <c r="R97" i="166" s="1"/>
  <c r="C97" i="166" l="1"/>
  <c r="T96" i="166"/>
  <c r="R97" i="165"/>
  <c r="T96" i="167"/>
  <c r="C97" i="167"/>
  <c r="T96" i="165"/>
  <c r="C97" i="165"/>
  <c r="F97" i="165" l="1"/>
  <c r="E97" i="165" s="1"/>
  <c r="J97" i="165"/>
  <c r="J97" i="166"/>
  <c r="F97" i="166"/>
  <c r="E97" i="166" s="1"/>
  <c r="J97" i="167"/>
  <c r="F97" i="167"/>
  <c r="E97" i="167" s="1"/>
  <c r="N97" i="166" l="1"/>
  <c r="P97" i="166" s="1"/>
  <c r="K97" i="166"/>
  <c r="N97" i="165"/>
  <c r="P97" i="165" s="1"/>
  <c r="K97" i="165"/>
  <c r="N97" i="167"/>
  <c r="P97" i="167" s="1"/>
  <c r="K97" i="167"/>
  <c r="G98" i="165" l="1"/>
  <c r="L97" i="165"/>
  <c r="M97" i="165"/>
  <c r="O97" i="165" s="1"/>
  <c r="B97" i="165"/>
  <c r="L97" i="167"/>
  <c r="M97" i="167"/>
  <c r="O97" i="167" s="1"/>
  <c r="B97" i="167"/>
  <c r="G98" i="167"/>
  <c r="R98" i="167" s="1"/>
  <c r="G98" i="166"/>
  <c r="R98" i="166" s="1"/>
  <c r="B97" i="166"/>
  <c r="L97" i="166"/>
  <c r="M97" i="166"/>
  <c r="O97" i="166" s="1"/>
  <c r="C98" i="166" l="1"/>
  <c r="T97" i="166"/>
  <c r="C98" i="165"/>
  <c r="T97" i="165"/>
  <c r="C98" i="167"/>
  <c r="T97" i="167"/>
  <c r="R98" i="165"/>
  <c r="J98" i="167" l="1"/>
  <c r="F98" i="167"/>
  <c r="E98" i="167" s="1"/>
  <c r="F98" i="165"/>
  <c r="E98" i="165" s="1"/>
  <c r="J98" i="165"/>
  <c r="F98" i="166"/>
  <c r="E98" i="166" s="1"/>
  <c r="J98" i="166"/>
  <c r="K98" i="165" l="1"/>
  <c r="N98" i="165"/>
  <c r="P98" i="165" s="1"/>
  <c r="K98" i="166"/>
  <c r="N98" i="166"/>
  <c r="P98" i="166" s="1"/>
  <c r="N98" i="167"/>
  <c r="P98" i="167" s="1"/>
  <c r="K98" i="167"/>
  <c r="M98" i="166" l="1"/>
  <c r="O98" i="166" s="1"/>
  <c r="B98" i="166"/>
  <c r="L98" i="166"/>
  <c r="G99" i="166"/>
  <c r="R99" i="166" s="1"/>
  <c r="B98" i="167"/>
  <c r="L98" i="167"/>
  <c r="M98" i="167"/>
  <c r="O98" i="167" s="1"/>
  <c r="G99" i="167"/>
  <c r="R99" i="167" s="1"/>
  <c r="L98" i="165"/>
  <c r="M98" i="165"/>
  <c r="O98" i="165" s="1"/>
  <c r="B98" i="165"/>
  <c r="G99" i="165"/>
  <c r="R99" i="165" l="1"/>
  <c r="T98" i="166"/>
  <c r="C99" i="166"/>
  <c r="C99" i="167"/>
  <c r="T98" i="167"/>
  <c r="T98" i="165"/>
  <c r="C99" i="165"/>
  <c r="F99" i="166" l="1"/>
  <c r="E99" i="166" s="1"/>
  <c r="J99" i="166"/>
  <c r="F99" i="165"/>
  <c r="E99" i="165" s="1"/>
  <c r="J99" i="165"/>
  <c r="F99" i="167"/>
  <c r="E99" i="167" s="1"/>
  <c r="J99" i="167"/>
  <c r="N99" i="167" l="1"/>
  <c r="P99" i="167" s="1"/>
  <c r="K99" i="167"/>
  <c r="N99" i="166"/>
  <c r="P99" i="166" s="1"/>
  <c r="K99" i="166"/>
  <c r="N99" i="165"/>
  <c r="P99" i="165" s="1"/>
  <c r="K99" i="165"/>
  <c r="L99" i="166" l="1"/>
  <c r="M99" i="166"/>
  <c r="O99" i="166" s="1"/>
  <c r="B99" i="166"/>
  <c r="G100" i="166"/>
  <c r="R100" i="166" s="1"/>
  <c r="L99" i="165"/>
  <c r="G100" i="165"/>
  <c r="M99" i="165"/>
  <c r="O99" i="165" s="1"/>
  <c r="B99" i="165"/>
  <c r="M99" i="167"/>
  <c r="O99" i="167" s="1"/>
  <c r="G100" i="167"/>
  <c r="R100" i="167" s="1"/>
  <c r="B99" i="167"/>
  <c r="L99" i="167"/>
  <c r="C100" i="167" l="1"/>
  <c r="T99" i="167"/>
  <c r="R100" i="165"/>
  <c r="C100" i="165"/>
  <c r="T99" i="165"/>
  <c r="T99" i="166"/>
  <c r="C100" i="166"/>
  <c r="F100" i="166" l="1"/>
  <c r="E100" i="166" s="1"/>
  <c r="J100" i="166"/>
  <c r="J100" i="167"/>
  <c r="F100" i="167"/>
  <c r="E100" i="167" s="1"/>
  <c r="J100" i="165"/>
  <c r="F100" i="165"/>
  <c r="E100" i="165" s="1"/>
  <c r="N100" i="165" l="1"/>
  <c r="P100" i="165" s="1"/>
  <c r="K100" i="165"/>
  <c r="N100" i="166"/>
  <c r="P100" i="166" s="1"/>
  <c r="K100" i="166"/>
  <c r="K100" i="167"/>
  <c r="N100" i="167"/>
  <c r="P100" i="167" s="1"/>
  <c r="L100" i="165" l="1"/>
  <c r="G101" i="165"/>
  <c r="M100" i="165"/>
  <c r="O100" i="165" s="1"/>
  <c r="B100" i="165"/>
  <c r="M100" i="166"/>
  <c r="O100" i="166" s="1"/>
  <c r="B100" i="166"/>
  <c r="L100" i="166"/>
  <c r="G101" i="166"/>
  <c r="R101" i="166" s="1"/>
  <c r="L100" i="167"/>
  <c r="B100" i="167"/>
  <c r="M100" i="167"/>
  <c r="O100" i="167" s="1"/>
  <c r="G101" i="167"/>
  <c r="R101" i="167" s="1"/>
  <c r="R101" i="165" l="1"/>
  <c r="T100" i="166"/>
  <c r="C101" i="166"/>
  <c r="T100" i="167"/>
  <c r="C101" i="167"/>
  <c r="T100" i="165"/>
  <c r="C101" i="165"/>
  <c r="J101" i="166" l="1"/>
  <c r="F101" i="166"/>
  <c r="E101" i="166" s="1"/>
  <c r="J101" i="165"/>
  <c r="F101" i="165"/>
  <c r="E101" i="165" s="1"/>
  <c r="J101" i="167"/>
  <c r="F101" i="167"/>
  <c r="E101" i="167" s="1"/>
  <c r="N101" i="165" l="1"/>
  <c r="P101" i="165" s="1"/>
  <c r="K101" i="165"/>
  <c r="N101" i="167"/>
  <c r="P101" i="167" s="1"/>
  <c r="K101" i="167"/>
  <c r="N101" i="166"/>
  <c r="P101" i="166" s="1"/>
  <c r="K101" i="166"/>
  <c r="B101" i="166" l="1"/>
  <c r="G102" i="166"/>
  <c r="R102" i="166" s="1"/>
  <c r="L101" i="166"/>
  <c r="M101" i="166"/>
  <c r="O101" i="166" s="1"/>
  <c r="L101" i="165"/>
  <c r="G102" i="165"/>
  <c r="M101" i="165"/>
  <c r="O101" i="165" s="1"/>
  <c r="B101" i="165"/>
  <c r="L101" i="167"/>
  <c r="G102" i="167"/>
  <c r="R102" i="167" s="1"/>
  <c r="B101" i="167"/>
  <c r="M101" i="167"/>
  <c r="O101" i="167" s="1"/>
  <c r="C102" i="166" l="1"/>
  <c r="T101" i="166"/>
  <c r="R102" i="165"/>
  <c r="C102" i="167"/>
  <c r="T101" i="167"/>
  <c r="C102" i="165"/>
  <c r="T101" i="165"/>
  <c r="J102" i="165" l="1"/>
  <c r="F102" i="165"/>
  <c r="E102" i="165" s="1"/>
  <c r="F102" i="166"/>
  <c r="E102" i="166" s="1"/>
  <c r="J102" i="166"/>
  <c r="F102" i="167"/>
  <c r="E102" i="167" s="1"/>
  <c r="J102" i="167"/>
  <c r="K102" i="166" l="1"/>
  <c r="N102" i="166"/>
  <c r="P102" i="166" s="1"/>
  <c r="N102" i="167"/>
  <c r="P102" i="167" s="1"/>
  <c r="K102" i="167"/>
  <c r="N102" i="165"/>
  <c r="P102" i="165" s="1"/>
  <c r="K102" i="165"/>
  <c r="L102" i="167" l="1"/>
  <c r="B102" i="167"/>
  <c r="G103" i="167"/>
  <c r="R103" i="167" s="1"/>
  <c r="M102" i="167"/>
  <c r="O102" i="167" s="1"/>
  <c r="L102" i="165"/>
  <c r="G103" i="165"/>
  <c r="M102" i="165"/>
  <c r="O102" i="165" s="1"/>
  <c r="B102" i="165"/>
  <c r="G103" i="166"/>
  <c r="R103" i="166" s="1"/>
  <c r="L102" i="166"/>
  <c r="M102" i="166"/>
  <c r="O102" i="166" s="1"/>
  <c r="B102" i="166"/>
  <c r="C103" i="166" l="1"/>
  <c r="T102" i="166"/>
  <c r="R103" i="165"/>
  <c r="C103" i="165"/>
  <c r="T102" i="165"/>
  <c r="C103" i="167"/>
  <c r="T102" i="167"/>
  <c r="F103" i="165" l="1"/>
  <c r="E103" i="165" s="1"/>
  <c r="J103" i="165"/>
  <c r="F103" i="166"/>
  <c r="E103" i="166" s="1"/>
  <c r="J103" i="166"/>
  <c r="J103" i="167"/>
  <c r="F103" i="167"/>
  <c r="E103" i="167" s="1"/>
  <c r="N103" i="165" l="1"/>
  <c r="P103" i="165" s="1"/>
  <c r="K103" i="165"/>
  <c r="K103" i="167"/>
  <c r="N103" i="167"/>
  <c r="P103" i="167" s="1"/>
  <c r="K103" i="166"/>
  <c r="N103" i="166"/>
  <c r="P103" i="166" s="1"/>
  <c r="M103" i="167" l="1"/>
  <c r="O103" i="167" s="1"/>
  <c r="G104" i="167"/>
  <c r="R104" i="167" s="1"/>
  <c r="B103" i="167"/>
  <c r="L103" i="167"/>
  <c r="L103" i="165"/>
  <c r="G104" i="165"/>
  <c r="B103" i="165"/>
  <c r="M103" i="165"/>
  <c r="O103" i="165" s="1"/>
  <c r="L103" i="166"/>
  <c r="M103" i="166"/>
  <c r="O103" i="166" s="1"/>
  <c r="G104" i="166"/>
  <c r="R104" i="166" s="1"/>
  <c r="B103" i="166"/>
  <c r="C104" i="167" l="1"/>
  <c r="T103" i="167"/>
  <c r="R104" i="165"/>
  <c r="T103" i="166"/>
  <c r="C104" i="166"/>
  <c r="C104" i="165"/>
  <c r="T103" i="165"/>
  <c r="J104" i="165" l="1"/>
  <c r="F104" i="165"/>
  <c r="E104" i="165" s="1"/>
  <c r="F104" i="166"/>
  <c r="E104" i="166" s="1"/>
  <c r="J104" i="166"/>
  <c r="J104" i="167"/>
  <c r="F104" i="167"/>
  <c r="E104" i="167" s="1"/>
  <c r="K104" i="166" l="1"/>
  <c r="N104" i="166"/>
  <c r="P104" i="166" s="1"/>
  <c r="N104" i="167"/>
  <c r="P104" i="167" s="1"/>
  <c r="K104" i="167"/>
  <c r="N104" i="165"/>
  <c r="P104" i="165" s="1"/>
  <c r="K104" i="165"/>
  <c r="M104" i="167" l="1"/>
  <c r="O104" i="167" s="1"/>
  <c r="B104" i="167"/>
  <c r="G105" i="167"/>
  <c r="R105" i="167" s="1"/>
  <c r="L104" i="167"/>
  <c r="L104" i="165"/>
  <c r="G105" i="165"/>
  <c r="B104" i="165"/>
  <c r="M104" i="165"/>
  <c r="O104" i="165" s="1"/>
  <c r="L104" i="166"/>
  <c r="B104" i="166"/>
  <c r="M104" i="166"/>
  <c r="O104" i="166" s="1"/>
  <c r="G105" i="166"/>
  <c r="R105" i="166" s="1"/>
  <c r="R105" i="165" l="1"/>
  <c r="C105" i="167"/>
  <c r="T104" i="167"/>
  <c r="T104" i="166"/>
  <c r="C105" i="166"/>
  <c r="C105" i="165"/>
  <c r="T104" i="165"/>
  <c r="F105" i="166" l="1"/>
  <c r="E105" i="166" s="1"/>
  <c r="J105" i="166"/>
  <c r="F105" i="167"/>
  <c r="E105" i="167" s="1"/>
  <c r="J105" i="167"/>
  <c r="F105" i="165"/>
  <c r="E105" i="165" s="1"/>
  <c r="J105" i="165"/>
  <c r="K105" i="166" l="1"/>
  <c r="N105" i="166"/>
  <c r="P105" i="166" s="1"/>
  <c r="N105" i="165"/>
  <c r="P105" i="165" s="1"/>
  <c r="K105" i="165"/>
  <c r="K105" i="167"/>
  <c r="N105" i="167"/>
  <c r="P105" i="167" s="1"/>
  <c r="L105" i="165" l="1"/>
  <c r="G106" i="165"/>
  <c r="M105" i="165"/>
  <c r="O105" i="165" s="1"/>
  <c r="B105" i="165"/>
  <c r="B105" i="167"/>
  <c r="L105" i="167"/>
  <c r="M105" i="167"/>
  <c r="O105" i="167" s="1"/>
  <c r="G106" i="167"/>
  <c r="R106" i="167" s="1"/>
  <c r="L105" i="166"/>
  <c r="B105" i="166"/>
  <c r="G106" i="166"/>
  <c r="R106" i="166" s="1"/>
  <c r="M105" i="166"/>
  <c r="O105" i="166" s="1"/>
  <c r="R106" i="165" l="1"/>
  <c r="T105" i="167"/>
  <c r="C106" i="167"/>
  <c r="T105" i="166"/>
  <c r="C106" i="166"/>
  <c r="C106" i="165"/>
  <c r="T105" i="165"/>
  <c r="J106" i="167" l="1"/>
  <c r="F106" i="167"/>
  <c r="E106" i="167" s="1"/>
  <c r="J106" i="165"/>
  <c r="F106" i="165"/>
  <c r="E106" i="165" s="1"/>
  <c r="J106" i="166"/>
  <c r="F106" i="166"/>
  <c r="E106" i="166" s="1"/>
  <c r="K106" i="165" l="1"/>
  <c r="N106" i="165"/>
  <c r="P106" i="165" s="1"/>
  <c r="N106" i="166"/>
  <c r="P106" i="166" s="1"/>
  <c r="K106" i="166"/>
  <c r="N106" i="167"/>
  <c r="P106" i="167" s="1"/>
  <c r="K106" i="167"/>
  <c r="G107" i="166" l="1"/>
  <c r="R107" i="166" s="1"/>
  <c r="M106" i="166"/>
  <c r="O106" i="166" s="1"/>
  <c r="B106" i="166"/>
  <c r="L106" i="166"/>
  <c r="G107" i="167"/>
  <c r="R107" i="167" s="1"/>
  <c r="M106" i="167"/>
  <c r="O106" i="167" s="1"/>
  <c r="B106" i="167"/>
  <c r="L106" i="167"/>
  <c r="L106" i="165"/>
  <c r="M106" i="165"/>
  <c r="O106" i="165" s="1"/>
  <c r="G107" i="165"/>
  <c r="B106" i="165"/>
  <c r="C107" i="167" l="1"/>
  <c r="T106" i="167"/>
  <c r="T106" i="166"/>
  <c r="C107" i="166"/>
  <c r="R107" i="165"/>
  <c r="C107" i="165"/>
  <c r="T106" i="165"/>
  <c r="J107" i="167" l="1"/>
  <c r="F107" i="167"/>
  <c r="E107" i="167" s="1"/>
  <c r="J107" i="165"/>
  <c r="F107" i="165"/>
  <c r="E107" i="165" s="1"/>
  <c r="F107" i="166"/>
  <c r="E107" i="166" s="1"/>
  <c r="J107" i="166"/>
  <c r="K107" i="165" l="1"/>
  <c r="N107" i="165"/>
  <c r="P107" i="165" s="1"/>
  <c r="N107" i="166"/>
  <c r="P107" i="166" s="1"/>
  <c r="K107" i="166"/>
  <c r="K107" i="167"/>
  <c r="N107" i="167"/>
  <c r="P107" i="167" s="1"/>
  <c r="L107" i="166" l="1"/>
  <c r="G108" i="166"/>
  <c r="R108" i="166" s="1"/>
  <c r="B107" i="166"/>
  <c r="M107" i="166"/>
  <c r="O107" i="166" s="1"/>
  <c r="G108" i="167"/>
  <c r="R108" i="167" s="1"/>
  <c r="M107" i="167"/>
  <c r="O107" i="167" s="1"/>
  <c r="B107" i="167"/>
  <c r="L107" i="167"/>
  <c r="L107" i="165"/>
  <c r="G108" i="165"/>
  <c r="B107" i="165"/>
  <c r="M107" i="165"/>
  <c r="O107" i="165" s="1"/>
  <c r="C108" i="167" l="1"/>
  <c r="T107" i="167"/>
  <c r="R108" i="165"/>
  <c r="C108" i="165"/>
  <c r="T107" i="165"/>
  <c r="T107" i="166"/>
  <c r="C108" i="166"/>
  <c r="J108" i="165" l="1"/>
  <c r="F108" i="165"/>
  <c r="E108" i="165" s="1"/>
  <c r="F108" i="167"/>
  <c r="E108" i="167" s="1"/>
  <c r="J108" i="167"/>
  <c r="F108" i="166"/>
  <c r="E108" i="166" s="1"/>
  <c r="J108" i="166"/>
  <c r="N108" i="166" l="1"/>
  <c r="P108" i="166" s="1"/>
  <c r="K108" i="166"/>
  <c r="K108" i="167"/>
  <c r="N108" i="167"/>
  <c r="P108" i="167" s="1"/>
  <c r="N108" i="165"/>
  <c r="P108" i="165" s="1"/>
  <c r="K108" i="165"/>
  <c r="M108" i="167" l="1"/>
  <c r="O108" i="167" s="1"/>
  <c r="G109" i="167"/>
  <c r="R109" i="167" s="1"/>
  <c r="B108" i="167"/>
  <c r="L108" i="167"/>
  <c r="L108" i="165"/>
  <c r="G109" i="165"/>
  <c r="B108" i="165"/>
  <c r="M108" i="165"/>
  <c r="O108" i="165" s="1"/>
  <c r="L108" i="166"/>
  <c r="G109" i="166"/>
  <c r="R109" i="166" s="1"/>
  <c r="M108" i="166"/>
  <c r="O108" i="166" s="1"/>
  <c r="B108" i="166"/>
  <c r="T108" i="167" l="1"/>
  <c r="C109" i="167"/>
  <c r="R109" i="165"/>
  <c r="C109" i="166"/>
  <c r="T108" i="166"/>
  <c r="C109" i="165"/>
  <c r="T108" i="165"/>
  <c r="J109" i="166" l="1"/>
  <c r="F109" i="166"/>
  <c r="E109" i="166" s="1"/>
  <c r="J109" i="167"/>
  <c r="F109" i="167"/>
  <c r="E109" i="167" s="1"/>
  <c r="F109" i="165"/>
  <c r="E109" i="165" s="1"/>
  <c r="J109" i="165"/>
  <c r="K109" i="165" l="1"/>
  <c r="N109" i="165"/>
  <c r="P109" i="165" s="1"/>
  <c r="N109" i="166"/>
  <c r="P109" i="166" s="1"/>
  <c r="K109" i="166"/>
  <c r="K109" i="167"/>
  <c r="N109" i="167"/>
  <c r="P109" i="167" s="1"/>
  <c r="L109" i="166" l="1"/>
  <c r="G110" i="166"/>
  <c r="R110" i="166" s="1"/>
  <c r="M109" i="166"/>
  <c r="O109" i="166" s="1"/>
  <c r="B109" i="166"/>
  <c r="G110" i="167"/>
  <c r="R110" i="167" s="1"/>
  <c r="B109" i="167"/>
  <c r="L109" i="167"/>
  <c r="M109" i="167"/>
  <c r="O109" i="167" s="1"/>
  <c r="L109" i="165"/>
  <c r="M109" i="165"/>
  <c r="O109" i="165" s="1"/>
  <c r="G110" i="165"/>
  <c r="B109" i="165"/>
  <c r="R110" i="165" l="1"/>
  <c r="C110" i="167"/>
  <c r="T109" i="167"/>
  <c r="T109" i="165"/>
  <c r="C110" i="165"/>
  <c r="C110" i="166"/>
  <c r="T109" i="166"/>
  <c r="J110" i="165" l="1"/>
  <c r="F110" i="165"/>
  <c r="E110" i="165" s="1"/>
  <c r="J110" i="167"/>
  <c r="F110" i="167"/>
  <c r="E110" i="167" s="1"/>
  <c r="F110" i="166"/>
  <c r="E110" i="166" s="1"/>
  <c r="J110" i="166"/>
  <c r="K110" i="167" l="1"/>
  <c r="N110" i="167"/>
  <c r="P110" i="167" s="1"/>
  <c r="N110" i="166"/>
  <c r="P110" i="166" s="1"/>
  <c r="K110" i="166"/>
  <c r="N110" i="165"/>
  <c r="P110" i="165" s="1"/>
  <c r="K110" i="165"/>
  <c r="B110" i="166" l="1"/>
  <c r="L110" i="166"/>
  <c r="M110" i="166"/>
  <c r="O110" i="166" s="1"/>
  <c r="G111" i="166"/>
  <c r="R111" i="166" s="1"/>
  <c r="L110" i="165"/>
  <c r="M110" i="165"/>
  <c r="O110" i="165" s="1"/>
  <c r="G111" i="165"/>
  <c r="B110" i="165"/>
  <c r="G111" i="167"/>
  <c r="R111" i="167" s="1"/>
  <c r="M110" i="167"/>
  <c r="O110" i="167" s="1"/>
  <c r="L110" i="167"/>
  <c r="B110" i="167"/>
  <c r="R111" i="165" l="1"/>
  <c r="T110" i="166"/>
  <c r="C111" i="166"/>
  <c r="T110" i="167"/>
  <c r="C111" i="167"/>
  <c r="C111" i="165"/>
  <c r="T110" i="165"/>
  <c r="J111" i="167" l="1"/>
  <c r="F111" i="167"/>
  <c r="E111" i="167" s="1"/>
  <c r="J111" i="165"/>
  <c r="F111" i="165"/>
  <c r="E111" i="165" s="1"/>
  <c r="F111" i="166"/>
  <c r="E111" i="166" s="1"/>
  <c r="J111" i="166"/>
  <c r="K111" i="166" l="1"/>
  <c r="N111" i="166"/>
  <c r="P111" i="166" s="1"/>
  <c r="K111" i="165"/>
  <c r="N111" i="165"/>
  <c r="P111" i="165" s="1"/>
  <c r="K111" i="167"/>
  <c r="N111" i="167"/>
  <c r="P111" i="167" s="1"/>
  <c r="M111" i="165" l="1"/>
  <c r="O111" i="165" s="1"/>
  <c r="L111" i="165"/>
  <c r="G112" i="165"/>
  <c r="B111" i="165"/>
  <c r="L111" i="167"/>
  <c r="M111" i="167"/>
  <c r="O111" i="167" s="1"/>
  <c r="G112" i="167"/>
  <c r="R112" i="167" s="1"/>
  <c r="B111" i="167"/>
  <c r="G112" i="166"/>
  <c r="R112" i="166" s="1"/>
  <c r="B111" i="166"/>
  <c r="M111" i="166"/>
  <c r="O111" i="166" s="1"/>
  <c r="L111" i="166"/>
  <c r="R112" i="165" l="1"/>
  <c r="T111" i="166"/>
  <c r="C112" i="166"/>
  <c r="T111" i="165"/>
  <c r="C112" i="165"/>
  <c r="C112" i="167"/>
  <c r="T111" i="167"/>
  <c r="J112" i="167" l="1"/>
  <c r="F112" i="167"/>
  <c r="E112" i="167" s="1"/>
  <c r="F112" i="165"/>
  <c r="E112" i="165" s="1"/>
  <c r="J112" i="165"/>
  <c r="J112" i="166"/>
  <c r="F112" i="166"/>
  <c r="E112" i="166" s="1"/>
  <c r="N112" i="166" l="1"/>
  <c r="P112" i="166" s="1"/>
  <c r="K112" i="166"/>
  <c r="N112" i="165"/>
  <c r="P112" i="165" s="1"/>
  <c r="K112" i="165"/>
  <c r="K112" i="167"/>
  <c r="N112" i="167"/>
  <c r="P112" i="167" s="1"/>
  <c r="L112" i="165" l="1"/>
  <c r="B112" i="165"/>
  <c r="M112" i="165"/>
  <c r="O112" i="165" s="1"/>
  <c r="G113" i="165"/>
  <c r="B112" i="166"/>
  <c r="G113" i="166"/>
  <c r="R113" i="166" s="1"/>
  <c r="L112" i="166"/>
  <c r="M112" i="166"/>
  <c r="O112" i="166" s="1"/>
  <c r="G113" i="167"/>
  <c r="R113" i="167" s="1"/>
  <c r="M112" i="167"/>
  <c r="O112" i="167" s="1"/>
  <c r="B112" i="167"/>
  <c r="L112" i="167"/>
  <c r="C113" i="167" l="1"/>
  <c r="T112" i="167"/>
  <c r="R113" i="165"/>
  <c r="C113" i="166"/>
  <c r="T112" i="166"/>
  <c r="C113" i="165"/>
  <c r="T112" i="165"/>
  <c r="J113" i="166" l="1"/>
  <c r="F113" i="166"/>
  <c r="E113" i="166" s="1"/>
  <c r="F113" i="165"/>
  <c r="E113" i="165" s="1"/>
  <c r="J113" i="165"/>
  <c r="J113" i="167"/>
  <c r="F113" i="167"/>
  <c r="E113" i="167" s="1"/>
  <c r="K113" i="165" l="1"/>
  <c r="N113" i="165"/>
  <c r="P113" i="165" s="1"/>
  <c r="K113" i="167"/>
  <c r="N113" i="167"/>
  <c r="P113" i="167" s="1"/>
  <c r="N113" i="166"/>
  <c r="P113" i="166" s="1"/>
  <c r="K113" i="166"/>
  <c r="M113" i="167" l="1"/>
  <c r="O113" i="167" s="1"/>
  <c r="G114" i="167"/>
  <c r="R114" i="167" s="1"/>
  <c r="B113" i="167"/>
  <c r="L113" i="167"/>
  <c r="G114" i="166"/>
  <c r="R114" i="166" s="1"/>
  <c r="B113" i="166"/>
  <c r="M113" i="166"/>
  <c r="O113" i="166" s="1"/>
  <c r="L113" i="166"/>
  <c r="M113" i="165"/>
  <c r="O113" i="165" s="1"/>
  <c r="L113" i="165"/>
  <c r="G114" i="165"/>
  <c r="B113" i="165"/>
  <c r="C114" i="167" l="1"/>
  <c r="T113" i="167"/>
  <c r="R114" i="165"/>
  <c r="T113" i="166"/>
  <c r="C114" i="166"/>
  <c r="C114" i="165"/>
  <c r="T113" i="165"/>
  <c r="J114" i="165" l="1"/>
  <c r="F114" i="165"/>
  <c r="E114" i="165" s="1"/>
  <c r="F114" i="166"/>
  <c r="E114" i="166" s="1"/>
  <c r="J114" i="166"/>
  <c r="J114" i="167"/>
  <c r="F114" i="167"/>
  <c r="E114" i="167" s="1"/>
  <c r="K114" i="166" l="1"/>
  <c r="N114" i="166"/>
  <c r="P114" i="166" s="1"/>
  <c r="K114" i="167"/>
  <c r="N114" i="167"/>
  <c r="P114" i="167" s="1"/>
  <c r="N114" i="165"/>
  <c r="P114" i="165" s="1"/>
  <c r="K114" i="165"/>
  <c r="L114" i="167" l="1"/>
  <c r="G115" i="167"/>
  <c r="R115" i="167" s="1"/>
  <c r="M114" i="167"/>
  <c r="O114" i="167" s="1"/>
  <c r="B114" i="167"/>
  <c r="M114" i="165"/>
  <c r="O114" i="165" s="1"/>
  <c r="G115" i="165"/>
  <c r="L114" i="165"/>
  <c r="B114" i="165"/>
  <c r="B114" i="166"/>
  <c r="L114" i="166"/>
  <c r="M114" i="166"/>
  <c r="O114" i="166" s="1"/>
  <c r="G115" i="166"/>
  <c r="R115" i="166" s="1"/>
  <c r="C115" i="165" l="1"/>
  <c r="T114" i="165"/>
  <c r="C115" i="166"/>
  <c r="T114" i="166"/>
  <c r="R115" i="165"/>
  <c r="T114" i="167"/>
  <c r="C115" i="167"/>
  <c r="J115" i="166" l="1"/>
  <c r="F115" i="166"/>
  <c r="E115" i="166" s="1"/>
  <c r="F115" i="167"/>
  <c r="E115" i="167" s="1"/>
  <c r="J115" i="167"/>
  <c r="F115" i="165"/>
  <c r="E115" i="165" s="1"/>
  <c r="J115" i="165"/>
  <c r="N115" i="167" l="1"/>
  <c r="P115" i="167" s="1"/>
  <c r="K115" i="167"/>
  <c r="K115" i="165"/>
  <c r="N115" i="165"/>
  <c r="P115" i="165" s="1"/>
  <c r="N115" i="166"/>
  <c r="P115" i="166" s="1"/>
  <c r="K115" i="166"/>
  <c r="L115" i="165" l="1"/>
  <c r="G116" i="165"/>
  <c r="B115" i="165"/>
  <c r="M115" i="165"/>
  <c r="O115" i="165" s="1"/>
  <c r="B115" i="166"/>
  <c r="L115" i="166"/>
  <c r="M115" i="166"/>
  <c r="O115" i="166" s="1"/>
  <c r="G116" i="166"/>
  <c r="R116" i="166" s="1"/>
  <c r="G116" i="167"/>
  <c r="R116" i="167" s="1"/>
  <c r="M115" i="167"/>
  <c r="O115" i="167" s="1"/>
  <c r="B115" i="167"/>
  <c r="L115" i="167"/>
  <c r="C116" i="167" l="1"/>
  <c r="T115" i="167"/>
  <c r="T115" i="166"/>
  <c r="C116" i="166"/>
  <c r="R116" i="165"/>
  <c r="T115" i="165"/>
  <c r="C116" i="165"/>
  <c r="J116" i="165" l="1"/>
  <c r="F116" i="165"/>
  <c r="E116" i="165" s="1"/>
  <c r="J116" i="167"/>
  <c r="F116" i="167"/>
  <c r="E116" i="167" s="1"/>
  <c r="F116" i="166"/>
  <c r="E116" i="166" s="1"/>
  <c r="J116" i="166"/>
  <c r="K116" i="167" l="1"/>
  <c r="N116" i="167"/>
  <c r="P116" i="167" s="1"/>
  <c r="N116" i="165"/>
  <c r="P116" i="165" s="1"/>
  <c r="K116" i="165"/>
  <c r="N116" i="166"/>
  <c r="P116" i="166" s="1"/>
  <c r="K116" i="166"/>
  <c r="L116" i="165" l="1"/>
  <c r="G117" i="165"/>
  <c r="M116" i="165"/>
  <c r="O116" i="165" s="1"/>
  <c r="B116" i="165"/>
  <c r="B116" i="166"/>
  <c r="L116" i="166"/>
  <c r="G117" i="166"/>
  <c r="R117" i="166" s="1"/>
  <c r="M116" i="166"/>
  <c r="O116" i="166" s="1"/>
  <c r="L116" i="167"/>
  <c r="B116" i="167"/>
  <c r="G117" i="167"/>
  <c r="R117" i="167" s="1"/>
  <c r="M116" i="167"/>
  <c r="O116" i="167" s="1"/>
  <c r="C117" i="166" l="1"/>
  <c r="T116" i="166"/>
  <c r="R117" i="165"/>
  <c r="T116" i="167"/>
  <c r="C117" i="167"/>
  <c r="C117" i="165"/>
  <c r="T116" i="165"/>
  <c r="J117" i="166" l="1"/>
  <c r="F117" i="166"/>
  <c r="E117" i="166" s="1"/>
  <c r="J117" i="165"/>
  <c r="F117" i="165"/>
  <c r="E117" i="165" s="1"/>
  <c r="J117" i="167"/>
  <c r="F117" i="167"/>
  <c r="E117" i="167" s="1"/>
  <c r="N117" i="165" l="1"/>
  <c r="P117" i="165" s="1"/>
  <c r="K117" i="165"/>
  <c r="N117" i="167"/>
  <c r="P117" i="167" s="1"/>
  <c r="K117" i="167"/>
  <c r="N117" i="166"/>
  <c r="P117" i="166" s="1"/>
  <c r="K117" i="166"/>
  <c r="M117" i="167" l="1"/>
  <c r="O117" i="167" s="1"/>
  <c r="G118" i="167"/>
  <c r="R118" i="167" s="1"/>
  <c r="B117" i="167"/>
  <c r="L117" i="167"/>
  <c r="G118" i="166"/>
  <c r="R118" i="166" s="1"/>
  <c r="B117" i="166"/>
  <c r="M117" i="166"/>
  <c r="O117" i="166" s="1"/>
  <c r="L117" i="166"/>
  <c r="G118" i="165"/>
  <c r="B117" i="165"/>
  <c r="L117" i="165"/>
  <c r="M117" i="165"/>
  <c r="O117" i="165" s="1"/>
  <c r="C118" i="166" l="1"/>
  <c r="T117" i="166"/>
  <c r="C118" i="165"/>
  <c r="T117" i="165"/>
  <c r="C118" i="167"/>
  <c r="T117" i="167"/>
  <c r="R118" i="165"/>
  <c r="F118" i="165" l="1"/>
  <c r="E118" i="165" s="1"/>
  <c r="J118" i="165"/>
  <c r="J118" i="167"/>
  <c r="F118" i="167"/>
  <c r="E118" i="167" s="1"/>
  <c r="J118" i="166"/>
  <c r="F118" i="166"/>
  <c r="E118" i="166" s="1"/>
  <c r="N118" i="165" l="1"/>
  <c r="P118" i="165" s="1"/>
  <c r="K118" i="165"/>
  <c r="N118" i="166"/>
  <c r="P118" i="166" s="1"/>
  <c r="K118" i="166"/>
  <c r="K118" i="167"/>
  <c r="N118" i="167"/>
  <c r="P118" i="167" s="1"/>
  <c r="M118" i="166" l="1"/>
  <c r="O118" i="166" s="1"/>
  <c r="G119" i="166"/>
  <c r="R119" i="166" s="1"/>
  <c r="B118" i="166"/>
  <c r="L118" i="166"/>
  <c r="L118" i="165"/>
  <c r="B118" i="165"/>
  <c r="G119" i="165"/>
  <c r="M118" i="165"/>
  <c r="O118" i="165" s="1"/>
  <c r="B118" i="167"/>
  <c r="L118" i="167"/>
  <c r="G119" i="167"/>
  <c r="R119" i="167" s="1"/>
  <c r="M118" i="167"/>
  <c r="O118" i="167" s="1"/>
  <c r="R119" i="165" l="1"/>
  <c r="C119" i="166"/>
  <c r="T118" i="166"/>
  <c r="T118" i="167"/>
  <c r="C119" i="167"/>
  <c r="C119" i="165"/>
  <c r="T118" i="165"/>
  <c r="J119" i="165" l="1"/>
  <c r="F119" i="165"/>
  <c r="E119" i="165" s="1"/>
  <c r="F119" i="167"/>
  <c r="E119" i="167" s="1"/>
  <c r="J119" i="167"/>
  <c r="J119" i="166"/>
  <c r="F119" i="166"/>
  <c r="E119" i="166" s="1"/>
  <c r="N119" i="166" l="1"/>
  <c r="P119" i="166" s="1"/>
  <c r="K119" i="166"/>
  <c r="K119" i="165"/>
  <c r="N119" i="165"/>
  <c r="P119" i="165" s="1"/>
  <c r="N119" i="167"/>
  <c r="P119" i="167" s="1"/>
  <c r="K119" i="167"/>
  <c r="G120" i="165" l="1"/>
  <c r="M119" i="165"/>
  <c r="O119" i="165" s="1"/>
  <c r="B119" i="165"/>
  <c r="L119" i="165"/>
  <c r="M119" i="167"/>
  <c r="O119" i="167" s="1"/>
  <c r="B119" i="167"/>
  <c r="L119" i="167"/>
  <c r="G120" i="167"/>
  <c r="R120" i="167" s="1"/>
  <c r="B119" i="166"/>
  <c r="G120" i="166"/>
  <c r="R120" i="166" s="1"/>
  <c r="L119" i="166"/>
  <c r="M119" i="166"/>
  <c r="O119" i="166" s="1"/>
  <c r="T119" i="165" l="1"/>
  <c r="C120" i="165"/>
  <c r="T119" i="166"/>
  <c r="C120" i="166"/>
  <c r="T119" i="167"/>
  <c r="C120" i="167"/>
  <c r="R120" i="165"/>
  <c r="F120" i="167" l="1"/>
  <c r="E120" i="167" s="1"/>
  <c r="J120" i="167"/>
  <c r="F120" i="165"/>
  <c r="E120" i="165" s="1"/>
  <c r="J120" i="165"/>
  <c r="J120" i="166"/>
  <c r="F120" i="166"/>
  <c r="E120" i="166" s="1"/>
  <c r="K120" i="167" l="1"/>
  <c r="N120" i="167"/>
  <c r="P120" i="167" s="1"/>
  <c r="N120" i="166"/>
  <c r="P120" i="166" s="1"/>
  <c r="K120" i="166"/>
  <c r="N120" i="165"/>
  <c r="P120" i="165" s="1"/>
  <c r="K120" i="165"/>
  <c r="B120" i="166" l="1"/>
  <c r="L120" i="166"/>
  <c r="G121" i="166"/>
  <c r="R121" i="166" s="1"/>
  <c r="M120" i="166"/>
  <c r="O120" i="166" s="1"/>
  <c r="L120" i="165"/>
  <c r="M120" i="165"/>
  <c r="O120" i="165" s="1"/>
  <c r="B120" i="165"/>
  <c r="G121" i="165"/>
  <c r="B120" i="167"/>
  <c r="G121" i="167"/>
  <c r="R121" i="167" s="1"/>
  <c r="L120" i="167"/>
  <c r="M120" i="167"/>
  <c r="O120" i="167" s="1"/>
  <c r="C121" i="167" l="1"/>
  <c r="T120" i="167"/>
  <c r="C121" i="166"/>
  <c r="T120" i="166"/>
  <c r="R121" i="165"/>
  <c r="T120" i="165"/>
  <c r="C121" i="165"/>
  <c r="F121" i="165" l="1"/>
  <c r="E121" i="165" s="1"/>
  <c r="J121" i="165"/>
  <c r="J121" i="167"/>
  <c r="F121" i="167"/>
  <c r="E121" i="167" s="1"/>
  <c r="J121" i="166"/>
  <c r="F121" i="166"/>
  <c r="E121" i="166" s="1"/>
  <c r="N121" i="165" l="1"/>
  <c r="P121" i="165" s="1"/>
  <c r="K121" i="165"/>
  <c r="N121" i="166"/>
  <c r="P121" i="166" s="1"/>
  <c r="K121" i="166"/>
  <c r="N121" i="167"/>
  <c r="P121" i="167" s="1"/>
  <c r="K121" i="167"/>
  <c r="M121" i="166" l="1"/>
  <c r="O121" i="166" s="1"/>
  <c r="G122" i="166"/>
  <c r="R122" i="166" s="1"/>
  <c r="B121" i="166"/>
  <c r="L121" i="166"/>
  <c r="L121" i="167"/>
  <c r="M121" i="167"/>
  <c r="O121" i="167" s="1"/>
  <c r="G122" i="167"/>
  <c r="R122" i="167" s="1"/>
  <c r="B121" i="167"/>
  <c r="L121" i="165"/>
  <c r="G122" i="165"/>
  <c r="B121" i="165"/>
  <c r="M121" i="165"/>
  <c r="O121" i="165" s="1"/>
  <c r="C122" i="166" l="1"/>
  <c r="T121" i="166"/>
  <c r="R122" i="165"/>
  <c r="C122" i="165"/>
  <c r="T121" i="165"/>
  <c r="C122" i="167"/>
  <c r="T121" i="167"/>
  <c r="J122" i="167" l="1"/>
  <c r="F122" i="167"/>
  <c r="E122" i="167" s="1"/>
  <c r="F122" i="165"/>
  <c r="E122" i="165" s="1"/>
  <c r="J122" i="165"/>
  <c r="J122" i="166"/>
  <c r="F122" i="166"/>
  <c r="E122" i="166" s="1"/>
  <c r="N122" i="166" l="1"/>
  <c r="P122" i="166" s="1"/>
  <c r="K122" i="166"/>
  <c r="N122" i="167"/>
  <c r="P122" i="167" s="1"/>
  <c r="K122" i="167"/>
  <c r="N122" i="165"/>
  <c r="P122" i="165" s="1"/>
  <c r="K122" i="165"/>
  <c r="G123" i="167" l="1"/>
  <c r="R123" i="167" s="1"/>
  <c r="B122" i="167"/>
  <c r="M122" i="167"/>
  <c r="O122" i="167" s="1"/>
  <c r="L122" i="167"/>
  <c r="L122" i="165"/>
  <c r="G123" i="165"/>
  <c r="B122" i="165"/>
  <c r="M122" i="165"/>
  <c r="O122" i="165" s="1"/>
  <c r="B122" i="166"/>
  <c r="G123" i="166"/>
  <c r="R123" i="166" s="1"/>
  <c r="L122" i="166"/>
  <c r="M122" i="166"/>
  <c r="O122" i="166" s="1"/>
  <c r="C123" i="167" l="1"/>
  <c r="T122" i="167"/>
  <c r="C123" i="166"/>
  <c r="T122" i="166"/>
  <c r="R123" i="165"/>
  <c r="C123" i="165"/>
  <c r="T122" i="165"/>
  <c r="J123" i="165" l="1"/>
  <c r="F123" i="165"/>
  <c r="E123" i="165" s="1"/>
  <c r="F123" i="166"/>
  <c r="E123" i="166" s="1"/>
  <c r="J123" i="166"/>
  <c r="J123" i="167"/>
  <c r="F123" i="167"/>
  <c r="E123" i="167" s="1"/>
  <c r="K123" i="167" l="1"/>
  <c r="N123" i="167"/>
  <c r="P123" i="167" s="1"/>
  <c r="K123" i="166"/>
  <c r="N123" i="166"/>
  <c r="P123" i="166" s="1"/>
  <c r="N123" i="165"/>
  <c r="P123" i="165" s="1"/>
  <c r="K123" i="165"/>
  <c r="L123" i="166" l="1"/>
  <c r="G124" i="166"/>
  <c r="R124" i="166" s="1"/>
  <c r="B123" i="166"/>
  <c r="M123" i="166"/>
  <c r="O123" i="166" s="1"/>
  <c r="G124" i="165"/>
  <c r="M123" i="165"/>
  <c r="O123" i="165" s="1"/>
  <c r="L123" i="165"/>
  <c r="B123" i="165"/>
  <c r="B123" i="167"/>
  <c r="L123" i="167"/>
  <c r="M123" i="167"/>
  <c r="O123" i="167" s="1"/>
  <c r="G124" i="167"/>
  <c r="R124" i="167" s="1"/>
  <c r="T123" i="165" l="1"/>
  <c r="C124" i="165"/>
  <c r="C124" i="167"/>
  <c r="T123" i="167"/>
  <c r="R124" i="165"/>
  <c r="T123" i="166"/>
  <c r="C124" i="166"/>
  <c r="F124" i="166" l="1"/>
  <c r="E124" i="166" s="1"/>
  <c r="J124" i="166"/>
  <c r="F124" i="165"/>
  <c r="E124" i="165" s="1"/>
  <c r="J124" i="165"/>
  <c r="J124" i="167"/>
  <c r="F124" i="167"/>
  <c r="E124" i="167" s="1"/>
  <c r="K124" i="165" l="1"/>
  <c r="N124" i="165"/>
  <c r="P124" i="165" s="1"/>
  <c r="K124" i="166"/>
  <c r="N124" i="166"/>
  <c r="P124" i="166" s="1"/>
  <c r="N124" i="167"/>
  <c r="P124" i="167" s="1"/>
  <c r="K124" i="167"/>
  <c r="L124" i="166" l="1"/>
  <c r="B124" i="166"/>
  <c r="M124" i="166"/>
  <c r="O124" i="166" s="1"/>
  <c r="G125" i="166"/>
  <c r="R125" i="166" s="1"/>
  <c r="M124" i="167"/>
  <c r="O124" i="167" s="1"/>
  <c r="B124" i="167"/>
  <c r="L124" i="167"/>
  <c r="G125" i="167"/>
  <c r="R125" i="167" s="1"/>
  <c r="M124" i="165"/>
  <c r="O124" i="165" s="1"/>
  <c r="G125" i="165"/>
  <c r="B124" i="165"/>
  <c r="L124" i="165"/>
  <c r="T124" i="165" l="1"/>
  <c r="C125" i="165"/>
  <c r="C125" i="167"/>
  <c r="T124" i="167"/>
  <c r="R125" i="165"/>
  <c r="T124" i="166"/>
  <c r="C125" i="166"/>
  <c r="J125" i="167" l="1"/>
  <c r="F125" i="167"/>
  <c r="E125" i="167" s="1"/>
  <c r="J125" i="166"/>
  <c r="F125" i="166"/>
  <c r="E125" i="166" s="1"/>
  <c r="J125" i="165"/>
  <c r="F125" i="165"/>
  <c r="E125" i="165" s="1"/>
  <c r="N125" i="166" l="1"/>
  <c r="P125" i="166" s="1"/>
  <c r="K125" i="166"/>
  <c r="K125" i="165"/>
  <c r="N125" i="165"/>
  <c r="P125" i="165" s="1"/>
  <c r="K125" i="167"/>
  <c r="N125" i="167"/>
  <c r="P125" i="167" s="1"/>
  <c r="L125" i="166" l="1"/>
  <c r="M125" i="166"/>
  <c r="O125" i="166" s="1"/>
  <c r="B125" i="166"/>
  <c r="G126" i="166"/>
  <c r="R126" i="166" s="1"/>
  <c r="L125" i="165"/>
  <c r="G126" i="165"/>
  <c r="M125" i="165"/>
  <c r="O125" i="165" s="1"/>
  <c r="B125" i="165"/>
  <c r="M125" i="167"/>
  <c r="O125" i="167" s="1"/>
  <c r="G126" i="167"/>
  <c r="R126" i="167" s="1"/>
  <c r="B125" i="167"/>
  <c r="L125" i="167"/>
  <c r="T125" i="167" l="1"/>
  <c r="C126" i="167"/>
  <c r="R126" i="165"/>
  <c r="T125" i="165"/>
  <c r="C126" i="165"/>
  <c r="T125" i="166"/>
  <c r="C126" i="166"/>
  <c r="F126" i="166" l="1"/>
  <c r="E126" i="166" s="1"/>
  <c r="J126" i="166"/>
  <c r="F126" i="167"/>
  <c r="E126" i="167" s="1"/>
  <c r="J126" i="167"/>
  <c r="F126" i="165"/>
  <c r="E126" i="165" s="1"/>
  <c r="J126" i="165"/>
  <c r="N126" i="167" l="1"/>
  <c r="P126" i="167" s="1"/>
  <c r="K126" i="167"/>
  <c r="K126" i="165"/>
  <c r="N126" i="165"/>
  <c r="P126" i="165" s="1"/>
  <c r="N126" i="166"/>
  <c r="P126" i="166" s="1"/>
  <c r="K126" i="166"/>
  <c r="L126" i="165" l="1"/>
  <c r="G127" i="165"/>
  <c r="B126" i="165"/>
  <c r="M126" i="165"/>
  <c r="O126" i="165" s="1"/>
  <c r="G127" i="166"/>
  <c r="R127" i="166" s="1"/>
  <c r="M126" i="166"/>
  <c r="O126" i="166" s="1"/>
  <c r="B126" i="166"/>
  <c r="L126" i="166"/>
  <c r="L126" i="167"/>
  <c r="G127" i="167"/>
  <c r="R127" i="167" s="1"/>
  <c r="B126" i="167"/>
  <c r="M126" i="167"/>
  <c r="O126" i="167" s="1"/>
  <c r="R127" i="165" l="1"/>
  <c r="C127" i="166"/>
  <c r="T126" i="166"/>
  <c r="T126" i="167"/>
  <c r="C127" i="167"/>
  <c r="C127" i="165"/>
  <c r="T126" i="165"/>
  <c r="F127" i="167" l="1"/>
  <c r="E127" i="167" s="1"/>
  <c r="J127" i="167"/>
  <c r="J127" i="165"/>
  <c r="F127" i="165"/>
  <c r="E127" i="165" s="1"/>
  <c r="J127" i="166"/>
  <c r="F127" i="166"/>
  <c r="E127" i="166" s="1"/>
  <c r="K127" i="166" l="1"/>
  <c r="N127" i="166"/>
  <c r="P127" i="166" s="1"/>
  <c r="N127" i="167"/>
  <c r="P127" i="167" s="1"/>
  <c r="K127" i="167"/>
  <c r="N127" i="165"/>
  <c r="P127" i="165" s="1"/>
  <c r="K127" i="165"/>
  <c r="G128" i="165" l="1"/>
  <c r="B127" i="165"/>
  <c r="L127" i="165"/>
  <c r="M127" i="165"/>
  <c r="O127" i="165" s="1"/>
  <c r="M127" i="167"/>
  <c r="O127" i="167" s="1"/>
  <c r="G128" i="167"/>
  <c r="R128" i="167" s="1"/>
  <c r="B127" i="167"/>
  <c r="L127" i="167"/>
  <c r="L127" i="166"/>
  <c r="G128" i="166"/>
  <c r="R128" i="166" s="1"/>
  <c r="M127" i="166"/>
  <c r="O127" i="166" s="1"/>
  <c r="B127" i="166"/>
  <c r="T127" i="167" l="1"/>
  <c r="C128" i="167"/>
  <c r="C128" i="165"/>
  <c r="T127" i="165"/>
  <c r="T127" i="166"/>
  <c r="C128" i="166"/>
  <c r="R128" i="165"/>
  <c r="J128" i="166" l="1"/>
  <c r="F128" i="166"/>
  <c r="E128" i="166" s="1"/>
  <c r="F128" i="167"/>
  <c r="E128" i="167" s="1"/>
  <c r="J128" i="167"/>
  <c r="F128" i="165"/>
  <c r="E128" i="165" s="1"/>
  <c r="J128" i="165"/>
  <c r="K128" i="167" l="1"/>
  <c r="N128" i="167"/>
  <c r="P128" i="167" s="1"/>
  <c r="N128" i="165"/>
  <c r="P128" i="165" s="1"/>
  <c r="K128" i="165"/>
  <c r="N128" i="166"/>
  <c r="P128" i="166" s="1"/>
  <c r="K128" i="166"/>
  <c r="M128" i="165" l="1"/>
  <c r="O128" i="165" s="1"/>
  <c r="L128" i="165"/>
  <c r="B128" i="165"/>
  <c r="G129" i="165"/>
  <c r="M128" i="166"/>
  <c r="O128" i="166" s="1"/>
  <c r="B128" i="166"/>
  <c r="G129" i="166"/>
  <c r="R129" i="166" s="1"/>
  <c r="L128" i="166"/>
  <c r="M128" i="167"/>
  <c r="O128" i="167" s="1"/>
  <c r="G129" i="167"/>
  <c r="R129" i="167" s="1"/>
  <c r="B128" i="167"/>
  <c r="L128" i="167"/>
  <c r="R129" i="165" l="1"/>
  <c r="T128" i="165"/>
  <c r="C129" i="165"/>
  <c r="C129" i="167"/>
  <c r="T128" i="167"/>
  <c r="T128" i="166"/>
  <c r="C129" i="166"/>
  <c r="F129" i="167" l="1"/>
  <c r="E129" i="167" s="1"/>
  <c r="J129" i="167"/>
  <c r="F129" i="166"/>
  <c r="E129" i="166" s="1"/>
  <c r="J129" i="166"/>
  <c r="J129" i="165"/>
  <c r="F129" i="165"/>
  <c r="E129" i="165" s="1"/>
  <c r="K129" i="165" l="1"/>
  <c r="N129" i="165"/>
  <c r="P129" i="165" s="1"/>
  <c r="K129" i="167"/>
  <c r="N129" i="167"/>
  <c r="P129" i="167" s="1"/>
  <c r="N129" i="166"/>
  <c r="P129" i="166" s="1"/>
  <c r="K129" i="166"/>
  <c r="L129" i="167" l="1"/>
  <c r="G130" i="167"/>
  <c r="R130" i="167" s="1"/>
  <c r="M129" i="167"/>
  <c r="O129" i="167" s="1"/>
  <c r="B129" i="167"/>
  <c r="B129" i="166"/>
  <c r="G130" i="166"/>
  <c r="R130" i="166" s="1"/>
  <c r="M129" i="166"/>
  <c r="O129" i="166" s="1"/>
  <c r="L129" i="166"/>
  <c r="L129" i="165"/>
  <c r="G130" i="165"/>
  <c r="M129" i="165"/>
  <c r="O129" i="165" s="1"/>
  <c r="B129" i="165"/>
  <c r="T129" i="166" l="1"/>
  <c r="C130" i="166"/>
  <c r="R130" i="165"/>
  <c r="T129" i="165"/>
  <c r="C130" i="165"/>
  <c r="C130" i="167"/>
  <c r="T129" i="167"/>
  <c r="J130" i="166" l="1"/>
  <c r="F130" i="166"/>
  <c r="E130" i="166" s="1"/>
  <c r="F130" i="167"/>
  <c r="E130" i="167" s="1"/>
  <c r="J130" i="167"/>
  <c r="F130" i="165"/>
  <c r="E130" i="165" s="1"/>
  <c r="J130" i="165"/>
  <c r="K130" i="167" l="1"/>
  <c r="N130" i="167"/>
  <c r="P130" i="167" s="1"/>
  <c r="K130" i="165"/>
  <c r="N130" i="165"/>
  <c r="P130" i="165" s="1"/>
  <c r="K130" i="166"/>
  <c r="N130" i="166"/>
  <c r="P130" i="166" s="1"/>
  <c r="G131" i="165" l="1"/>
  <c r="L130" i="165"/>
  <c r="M130" i="165"/>
  <c r="O130" i="165" s="1"/>
  <c r="B130" i="165"/>
  <c r="M130" i="166"/>
  <c r="O130" i="166" s="1"/>
  <c r="L130" i="166"/>
  <c r="G131" i="166"/>
  <c r="R131" i="166" s="1"/>
  <c r="B130" i="166"/>
  <c r="M130" i="167"/>
  <c r="O130" i="167" s="1"/>
  <c r="G131" i="167"/>
  <c r="R131" i="167" s="1"/>
  <c r="B130" i="167"/>
  <c r="L130" i="167"/>
  <c r="C131" i="167" l="1"/>
  <c r="T130" i="167"/>
  <c r="T130" i="166"/>
  <c r="C131" i="166"/>
  <c r="C131" i="165"/>
  <c r="T130" i="165"/>
  <c r="R131" i="165"/>
  <c r="J131" i="165" l="1"/>
  <c r="F131" i="165"/>
  <c r="E131" i="165" s="1"/>
  <c r="J131" i="166"/>
  <c r="F131" i="166"/>
  <c r="E131" i="166" s="1"/>
  <c r="J131" i="167"/>
  <c r="F131" i="167"/>
  <c r="E131" i="167" s="1"/>
  <c r="N131" i="166" l="1"/>
  <c r="P131" i="166" s="1"/>
  <c r="K131" i="166"/>
  <c r="K131" i="167"/>
  <c r="N131" i="167"/>
  <c r="P131" i="167" s="1"/>
  <c r="K131" i="165"/>
  <c r="N131" i="165"/>
  <c r="P131" i="165" s="1"/>
  <c r="G132" i="167" l="1"/>
  <c r="R132" i="167" s="1"/>
  <c r="B131" i="167"/>
  <c r="L131" i="167"/>
  <c r="M131" i="167"/>
  <c r="O131" i="167" s="1"/>
  <c r="M131" i="166"/>
  <c r="O131" i="166" s="1"/>
  <c r="B131" i="166"/>
  <c r="G132" i="166"/>
  <c r="R132" i="166" s="1"/>
  <c r="L131" i="166"/>
  <c r="B131" i="165"/>
  <c r="M131" i="165"/>
  <c r="O131" i="165" s="1"/>
  <c r="L131" i="165"/>
  <c r="G132" i="165"/>
  <c r="R132" i="165" l="1"/>
  <c r="T131" i="166"/>
  <c r="C132" i="166"/>
  <c r="C132" i="165"/>
  <c r="T131" i="165"/>
  <c r="T131" i="167"/>
  <c r="C132" i="167"/>
  <c r="F132" i="165" l="1"/>
  <c r="E132" i="165" s="1"/>
  <c r="J132" i="165"/>
  <c r="J132" i="167"/>
  <c r="F132" i="167"/>
  <c r="E132" i="167" s="1"/>
  <c r="J132" i="166"/>
  <c r="F132" i="166"/>
  <c r="E132" i="166" s="1"/>
  <c r="K132" i="167" l="1"/>
  <c r="N132" i="167"/>
  <c r="P132" i="167" s="1"/>
  <c r="N132" i="165"/>
  <c r="P132" i="165" s="1"/>
  <c r="K132" i="165"/>
  <c r="N132" i="166"/>
  <c r="P132" i="166" s="1"/>
  <c r="K132" i="166"/>
  <c r="L132" i="165" l="1"/>
  <c r="M132" i="165"/>
  <c r="O132" i="165" s="1"/>
  <c r="G133" i="165"/>
  <c r="B132" i="165"/>
  <c r="M132" i="166"/>
  <c r="O132" i="166" s="1"/>
  <c r="L132" i="166"/>
  <c r="G133" i="166"/>
  <c r="R133" i="166" s="1"/>
  <c r="B132" i="166"/>
  <c r="L132" i="167"/>
  <c r="M132" i="167"/>
  <c r="O132" i="167" s="1"/>
  <c r="G133" i="167"/>
  <c r="R133" i="167" s="1"/>
  <c r="B132" i="167"/>
  <c r="R133" i="165" l="1"/>
  <c r="T132" i="166"/>
  <c r="C133" i="166"/>
  <c r="T132" i="167"/>
  <c r="C133" i="167"/>
  <c r="T132" i="165"/>
  <c r="C133" i="165"/>
  <c r="F133" i="167" l="1"/>
  <c r="E133" i="167" s="1"/>
  <c r="J133" i="167"/>
  <c r="F133" i="165"/>
  <c r="E133" i="165" s="1"/>
  <c r="J133" i="165"/>
  <c r="J133" i="166"/>
  <c r="F133" i="166"/>
  <c r="E133" i="166" s="1"/>
  <c r="K133" i="167" l="1"/>
  <c r="N133" i="167"/>
  <c r="P133" i="167" s="1"/>
  <c r="N133" i="166"/>
  <c r="P133" i="166" s="1"/>
  <c r="K133" i="166"/>
  <c r="N133" i="165"/>
  <c r="P133" i="165" s="1"/>
  <c r="K133" i="165"/>
  <c r="L133" i="165" l="1"/>
  <c r="G134" i="165"/>
  <c r="M133" i="165"/>
  <c r="O133" i="165" s="1"/>
  <c r="B133" i="165"/>
  <c r="B133" i="166"/>
  <c r="M133" i="166"/>
  <c r="O133" i="166" s="1"/>
  <c r="L133" i="166"/>
  <c r="G134" i="166"/>
  <c r="R134" i="166" s="1"/>
  <c r="G134" i="167"/>
  <c r="R134" i="167" s="1"/>
  <c r="M133" i="167"/>
  <c r="O133" i="167" s="1"/>
  <c r="B133" i="167"/>
  <c r="L133" i="167"/>
  <c r="T133" i="166" l="1"/>
  <c r="C134" i="166"/>
  <c r="T133" i="167"/>
  <c r="C134" i="167"/>
  <c r="R134" i="165"/>
  <c r="C134" i="165"/>
  <c r="T133" i="165"/>
  <c r="J134" i="166" l="1"/>
  <c r="F134" i="166"/>
  <c r="E134" i="166" s="1"/>
  <c r="F134" i="167"/>
  <c r="E134" i="167" s="1"/>
  <c r="J134" i="167"/>
  <c r="J134" i="165"/>
  <c r="F134" i="165"/>
  <c r="E134" i="165" s="1"/>
  <c r="N134" i="165" l="1"/>
  <c r="P134" i="165" s="1"/>
  <c r="K134" i="165"/>
  <c r="K134" i="166"/>
  <c r="N134" i="166"/>
  <c r="P134" i="166" s="1"/>
  <c r="K134" i="167"/>
  <c r="N134" i="167"/>
  <c r="P134" i="167" s="1"/>
  <c r="B134" i="166" l="1"/>
  <c r="G135" i="166"/>
  <c r="R135" i="166" s="1"/>
  <c r="L134" i="166"/>
  <c r="M134" i="166"/>
  <c r="O134" i="166" s="1"/>
  <c r="B134" i="165"/>
  <c r="M134" i="165"/>
  <c r="O134" i="165" s="1"/>
  <c r="L134" i="165"/>
  <c r="G135" i="165"/>
  <c r="M134" i="167"/>
  <c r="O134" i="167" s="1"/>
  <c r="G135" i="167"/>
  <c r="R135" i="167" s="1"/>
  <c r="L134" i="167"/>
  <c r="B134" i="167"/>
  <c r="C135" i="167" l="1"/>
  <c r="T134" i="167"/>
  <c r="C135" i="165"/>
  <c r="T134" i="165"/>
  <c r="T134" i="166"/>
  <c r="C135" i="166"/>
  <c r="R135" i="165"/>
  <c r="J135" i="166" l="1"/>
  <c r="F135" i="166"/>
  <c r="E135" i="166" s="1"/>
  <c r="J135" i="167"/>
  <c r="F135" i="167"/>
  <c r="E135" i="167" s="1"/>
  <c r="J135" i="165"/>
  <c r="F135" i="165"/>
  <c r="E135" i="165" s="1"/>
  <c r="N135" i="165" l="1"/>
  <c r="P135" i="165" s="1"/>
  <c r="K135" i="165"/>
  <c r="N135" i="167"/>
  <c r="P135" i="167" s="1"/>
  <c r="K135" i="167"/>
  <c r="N135" i="166"/>
  <c r="P135" i="166" s="1"/>
  <c r="K135" i="166"/>
  <c r="L135" i="167" l="1"/>
  <c r="G136" i="167"/>
  <c r="R136" i="167" s="1"/>
  <c r="B135" i="167"/>
  <c r="M135" i="167"/>
  <c r="O135" i="167" s="1"/>
  <c r="B135" i="166"/>
  <c r="L135" i="166"/>
  <c r="G136" i="166"/>
  <c r="R136" i="166" s="1"/>
  <c r="M135" i="166"/>
  <c r="O135" i="166" s="1"/>
  <c r="L135" i="165"/>
  <c r="M135" i="165"/>
  <c r="O135" i="165" s="1"/>
  <c r="G136" i="165"/>
  <c r="B135" i="165"/>
  <c r="R136" i="165" l="1"/>
  <c r="C136" i="166"/>
  <c r="T135" i="166"/>
  <c r="T135" i="165"/>
  <c r="C136" i="165"/>
  <c r="T135" i="167"/>
  <c r="C136" i="167"/>
  <c r="J136" i="165" l="1"/>
  <c r="F136" i="165"/>
  <c r="E136" i="165" s="1"/>
  <c r="F136" i="167"/>
  <c r="E136" i="167" s="1"/>
  <c r="J136" i="167"/>
  <c r="F136" i="166"/>
  <c r="E136" i="166" s="1"/>
  <c r="J136" i="166"/>
  <c r="K136" i="166" l="1"/>
  <c r="N136" i="166"/>
  <c r="P136" i="166" s="1"/>
  <c r="K136" i="167"/>
  <c r="N136" i="167"/>
  <c r="P136" i="167" s="1"/>
  <c r="K136" i="165"/>
  <c r="N136" i="165"/>
  <c r="P136" i="165" s="1"/>
  <c r="L136" i="167" l="1"/>
  <c r="G137" i="167"/>
  <c r="R137" i="167" s="1"/>
  <c r="M136" i="167"/>
  <c r="O136" i="167" s="1"/>
  <c r="B136" i="167"/>
  <c r="L136" i="165"/>
  <c r="B136" i="165"/>
  <c r="G137" i="165"/>
  <c r="M136" i="165"/>
  <c r="O136" i="165" s="1"/>
  <c r="L136" i="166"/>
  <c r="M136" i="166"/>
  <c r="O136" i="166" s="1"/>
  <c r="B136" i="166"/>
  <c r="G137" i="166"/>
  <c r="R137" i="166" s="1"/>
  <c r="R137" i="165" l="1"/>
  <c r="T136" i="166"/>
  <c r="C137" i="166"/>
  <c r="C137" i="165"/>
  <c r="T136" i="165"/>
  <c r="T136" i="167"/>
  <c r="C137" i="167"/>
  <c r="J137" i="165" l="1"/>
  <c r="F137" i="165"/>
  <c r="E137" i="165" s="1"/>
  <c r="J137" i="167"/>
  <c r="F137" i="167"/>
  <c r="E137" i="167" s="1"/>
  <c r="F137" i="166"/>
  <c r="E137" i="166" s="1"/>
  <c r="J137" i="166"/>
  <c r="K137" i="167" l="1"/>
  <c r="N137" i="167"/>
  <c r="P137" i="167" s="1"/>
  <c r="N137" i="166"/>
  <c r="P137" i="166" s="1"/>
  <c r="K137" i="166"/>
  <c r="N137" i="165"/>
  <c r="P137" i="165" s="1"/>
  <c r="K137" i="165"/>
  <c r="L137" i="165" l="1"/>
  <c r="M137" i="165"/>
  <c r="O137" i="165" s="1"/>
  <c r="G138" i="165"/>
  <c r="B137" i="165"/>
  <c r="L137" i="166"/>
  <c r="G138" i="166"/>
  <c r="R138" i="166" s="1"/>
  <c r="M137" i="166"/>
  <c r="O137" i="166" s="1"/>
  <c r="B137" i="166"/>
  <c r="L137" i="167"/>
  <c r="G138" i="167"/>
  <c r="R138" i="167" s="1"/>
  <c r="M137" i="167"/>
  <c r="O137" i="167" s="1"/>
  <c r="B137" i="167"/>
  <c r="R138" i="165" l="1"/>
  <c r="T137" i="167"/>
  <c r="C138" i="167"/>
  <c r="T137" i="166"/>
  <c r="C138" i="166"/>
  <c r="C138" i="165"/>
  <c r="T137" i="165"/>
  <c r="F138" i="166" l="1"/>
  <c r="E138" i="166" s="1"/>
  <c r="J138" i="166"/>
  <c r="J138" i="167"/>
  <c r="F138" i="167"/>
  <c r="E138" i="167" s="1"/>
  <c r="F138" i="165"/>
  <c r="E138" i="165" s="1"/>
  <c r="J138" i="165"/>
  <c r="K138" i="166" l="1"/>
  <c r="N138" i="166"/>
  <c r="P138" i="166" s="1"/>
  <c r="N138" i="165"/>
  <c r="P138" i="165" s="1"/>
  <c r="K138" i="165"/>
  <c r="K138" i="167"/>
  <c r="N138" i="167"/>
  <c r="P138" i="167" s="1"/>
  <c r="L138" i="165" l="1"/>
  <c r="G139" i="165"/>
  <c r="M138" i="165"/>
  <c r="O138" i="165" s="1"/>
  <c r="B138" i="165"/>
  <c r="M138" i="167"/>
  <c r="O138" i="167" s="1"/>
  <c r="L138" i="167"/>
  <c r="G139" i="167"/>
  <c r="R139" i="167" s="1"/>
  <c r="B138" i="167"/>
  <c r="L138" i="166"/>
  <c r="M138" i="166"/>
  <c r="O138" i="166" s="1"/>
  <c r="G139" i="166"/>
  <c r="R139" i="166" s="1"/>
  <c r="B138" i="166"/>
  <c r="T138" i="167" l="1"/>
  <c r="C139" i="167"/>
  <c r="R139" i="165"/>
  <c r="T138" i="166"/>
  <c r="C139" i="166"/>
  <c r="C139" i="165"/>
  <c r="T138" i="165"/>
  <c r="J139" i="165" l="1"/>
  <c r="F139" i="165"/>
  <c r="E139" i="165" s="1"/>
  <c r="F139" i="166"/>
  <c r="E139" i="166" s="1"/>
  <c r="J139" i="166"/>
  <c r="J139" i="167"/>
  <c r="F139" i="167"/>
  <c r="E139" i="167" s="1"/>
  <c r="N139" i="165" l="1"/>
  <c r="P139" i="165" s="1"/>
  <c r="K139" i="165"/>
  <c r="N139" i="167"/>
  <c r="P139" i="167" s="1"/>
  <c r="K139" i="167"/>
  <c r="N139" i="166"/>
  <c r="P139" i="166" s="1"/>
  <c r="K139" i="166"/>
  <c r="G140" i="167" l="1"/>
  <c r="R140" i="167" s="1"/>
  <c r="B139" i="167"/>
  <c r="L139" i="167"/>
  <c r="M139" i="167"/>
  <c r="O139" i="167" s="1"/>
  <c r="L139" i="166"/>
  <c r="M139" i="166"/>
  <c r="O139" i="166" s="1"/>
  <c r="G140" i="166"/>
  <c r="R140" i="166" s="1"/>
  <c r="B139" i="166"/>
  <c r="B139" i="165"/>
  <c r="M139" i="165"/>
  <c r="O139" i="165" s="1"/>
  <c r="L139" i="165"/>
  <c r="G140" i="165"/>
  <c r="C140" i="165" l="1"/>
  <c r="T139" i="165"/>
  <c r="R140" i="165"/>
  <c r="C140" i="167"/>
  <c r="T139" i="167"/>
  <c r="T139" i="166"/>
  <c r="C140" i="166"/>
  <c r="F140" i="165" l="1"/>
  <c r="E140" i="165" s="1"/>
  <c r="J140" i="165"/>
  <c r="J140" i="166"/>
  <c r="F140" i="166"/>
  <c r="E140" i="166" s="1"/>
  <c r="F140" i="167"/>
  <c r="E140" i="167" s="1"/>
  <c r="J140" i="167"/>
  <c r="N140" i="166" l="1"/>
  <c r="P140" i="166" s="1"/>
  <c r="K140" i="166"/>
  <c r="K140" i="167"/>
  <c r="N140" i="167"/>
  <c r="P140" i="167" s="1"/>
  <c r="K140" i="165"/>
  <c r="N140" i="165"/>
  <c r="P140" i="165" s="1"/>
  <c r="L140" i="167" l="1"/>
  <c r="M140" i="167"/>
  <c r="O140" i="167" s="1"/>
  <c r="B140" i="167"/>
  <c r="G141" i="167"/>
  <c r="R141" i="167" s="1"/>
  <c r="G141" i="166"/>
  <c r="R141" i="166" s="1"/>
  <c r="B140" i="166"/>
  <c r="M140" i="166"/>
  <c r="O140" i="166" s="1"/>
  <c r="L140" i="166"/>
  <c r="G141" i="165"/>
  <c r="M140" i="165"/>
  <c r="O140" i="165" s="1"/>
  <c r="L140" i="165"/>
  <c r="B140" i="165"/>
  <c r="C141" i="165" l="1"/>
  <c r="T140" i="165"/>
  <c r="C141" i="166"/>
  <c r="T140" i="166"/>
  <c r="R141" i="165"/>
  <c r="T140" i="167"/>
  <c r="C141" i="167"/>
  <c r="F141" i="166" l="1"/>
  <c r="E141" i="166" s="1"/>
  <c r="J141" i="166"/>
  <c r="F141" i="167"/>
  <c r="E141" i="167" s="1"/>
  <c r="J141" i="167"/>
  <c r="F141" i="165"/>
  <c r="E141" i="165" s="1"/>
  <c r="J141" i="165"/>
  <c r="K141" i="166" l="1"/>
  <c r="N141" i="166"/>
  <c r="P141" i="166" s="1"/>
  <c r="N141" i="167"/>
  <c r="P141" i="167" s="1"/>
  <c r="K141" i="167"/>
  <c r="N141" i="165"/>
  <c r="P141" i="165" s="1"/>
  <c r="K141" i="165"/>
  <c r="M141" i="167" l="1"/>
  <c r="O141" i="167" s="1"/>
  <c r="G142" i="167"/>
  <c r="R142" i="167" s="1"/>
  <c r="B141" i="167"/>
  <c r="L141" i="167"/>
  <c r="L141" i="165"/>
  <c r="M141" i="165"/>
  <c r="O141" i="165" s="1"/>
  <c r="B141" i="165"/>
  <c r="G142" i="165"/>
  <c r="B141" i="166"/>
  <c r="L141" i="166"/>
  <c r="M141" i="166"/>
  <c r="O141" i="166" s="1"/>
  <c r="G142" i="166"/>
  <c r="R142" i="166" s="1"/>
  <c r="R142" i="165" l="1"/>
  <c r="T141" i="167"/>
  <c r="C142" i="167"/>
  <c r="T141" i="166"/>
  <c r="C142" i="166"/>
  <c r="T141" i="165"/>
  <c r="C142" i="165"/>
  <c r="F142" i="167" l="1"/>
  <c r="E142" i="167" s="1"/>
  <c r="J142" i="167"/>
  <c r="F142" i="166"/>
  <c r="E142" i="166" s="1"/>
  <c r="J142" i="166"/>
  <c r="F142" i="165"/>
  <c r="E142" i="165" s="1"/>
  <c r="J142" i="165"/>
  <c r="K142" i="166" l="1"/>
  <c r="N142" i="166"/>
  <c r="P142" i="166" s="1"/>
  <c r="N142" i="165"/>
  <c r="P142" i="165" s="1"/>
  <c r="K142" i="165"/>
  <c r="N142" i="167"/>
  <c r="P142" i="167" s="1"/>
  <c r="K142" i="167"/>
  <c r="M142" i="165" l="1"/>
  <c r="O142" i="165" s="1"/>
  <c r="G143" i="165"/>
  <c r="L142" i="165"/>
  <c r="B142" i="165"/>
  <c r="B142" i="167"/>
  <c r="M142" i="167"/>
  <c r="O142" i="167" s="1"/>
  <c r="L142" i="167"/>
  <c r="G143" i="167"/>
  <c r="R143" i="167" s="1"/>
  <c r="M142" i="166"/>
  <c r="O142" i="166" s="1"/>
  <c r="B142" i="166"/>
  <c r="G143" i="166"/>
  <c r="R143" i="166" s="1"/>
  <c r="L142" i="166"/>
  <c r="T142" i="166" l="1"/>
  <c r="C143" i="166"/>
  <c r="T142" i="167"/>
  <c r="C143" i="167"/>
  <c r="T142" i="165"/>
  <c r="C143" i="165"/>
  <c r="R143" i="165"/>
  <c r="F143" i="167" l="1"/>
  <c r="E143" i="167" s="1"/>
  <c r="J143" i="167"/>
  <c r="J143" i="165"/>
  <c r="F143" i="165"/>
  <c r="E143" i="165" s="1"/>
  <c r="J143" i="166"/>
  <c r="F143" i="166"/>
  <c r="E143" i="166" s="1"/>
  <c r="N143" i="165" l="1"/>
  <c r="P143" i="165" s="1"/>
  <c r="K143" i="165"/>
  <c r="K143" i="166"/>
  <c r="N143" i="166"/>
  <c r="P143" i="166" s="1"/>
  <c r="K143" i="167"/>
  <c r="N143" i="167"/>
  <c r="P143" i="167" s="1"/>
  <c r="L143" i="166" l="1"/>
  <c r="M143" i="166"/>
  <c r="O143" i="166" s="1"/>
  <c r="G144" i="166"/>
  <c r="R144" i="166" s="1"/>
  <c r="B143" i="166"/>
  <c r="G144" i="165"/>
  <c r="M143" i="165"/>
  <c r="O143" i="165" s="1"/>
  <c r="B143" i="165"/>
  <c r="L143" i="165"/>
  <c r="M143" i="167"/>
  <c r="O143" i="167" s="1"/>
  <c r="B143" i="167"/>
  <c r="L143" i="167"/>
  <c r="G144" i="167"/>
  <c r="R144" i="167" s="1"/>
  <c r="C144" i="165" l="1"/>
  <c r="T143" i="165"/>
  <c r="T143" i="167"/>
  <c r="C144" i="167"/>
  <c r="R144" i="165"/>
  <c r="C144" i="166"/>
  <c r="T143" i="166"/>
  <c r="J144" i="166" l="1"/>
  <c r="F144" i="166"/>
  <c r="E144" i="166" s="1"/>
  <c r="J144" i="167"/>
  <c r="F144" i="167"/>
  <c r="E144" i="167" s="1"/>
  <c r="F144" i="165"/>
  <c r="E144" i="165" s="1"/>
  <c r="J144" i="165"/>
  <c r="N144" i="167" l="1"/>
  <c r="P144" i="167" s="1"/>
  <c r="K144" i="167"/>
  <c r="N144" i="165"/>
  <c r="P144" i="165" s="1"/>
  <c r="K144" i="165"/>
  <c r="K144" i="166"/>
  <c r="N144" i="166"/>
  <c r="P144" i="166" s="1"/>
  <c r="G145" i="165" l="1"/>
  <c r="L144" i="165"/>
  <c r="B144" i="165"/>
  <c r="M144" i="165"/>
  <c r="O144" i="165" s="1"/>
  <c r="M144" i="167"/>
  <c r="O144" i="167" s="1"/>
  <c r="B144" i="167"/>
  <c r="L144" i="167"/>
  <c r="G145" i="167"/>
  <c r="R145" i="167" s="1"/>
  <c r="M144" i="166"/>
  <c r="O144" i="166" s="1"/>
  <c r="G145" i="166"/>
  <c r="R145" i="166" s="1"/>
  <c r="B144" i="166"/>
  <c r="L144" i="166"/>
  <c r="C145" i="167" l="1"/>
  <c r="T144" i="167"/>
  <c r="C145" i="166"/>
  <c r="T144" i="166"/>
  <c r="T144" i="165"/>
  <c r="C145" i="165"/>
  <c r="R145" i="165"/>
  <c r="J145" i="165" l="1"/>
  <c r="F145" i="165"/>
  <c r="E145" i="165" s="1"/>
  <c r="J145" i="166"/>
  <c r="F145" i="166"/>
  <c r="E145" i="166" s="1"/>
  <c r="J145" i="167"/>
  <c r="F145" i="167"/>
  <c r="E145" i="167" s="1"/>
  <c r="K145" i="166" l="1"/>
  <c r="N145" i="166"/>
  <c r="P145" i="166" s="1"/>
  <c r="N145" i="167"/>
  <c r="P145" i="167" s="1"/>
  <c r="K145" i="167"/>
  <c r="N145" i="165"/>
  <c r="P145" i="165" s="1"/>
  <c r="K145" i="165"/>
  <c r="M145" i="165" l="1"/>
  <c r="O145" i="165" s="1"/>
  <c r="G146" i="165"/>
  <c r="B145" i="165"/>
  <c r="L145" i="165"/>
  <c r="G146" i="167"/>
  <c r="R146" i="167" s="1"/>
  <c r="M145" i="167"/>
  <c r="O145" i="167" s="1"/>
  <c r="B145" i="167"/>
  <c r="L145" i="167"/>
  <c r="L145" i="166"/>
  <c r="G146" i="166"/>
  <c r="R146" i="166" s="1"/>
  <c r="B145" i="166"/>
  <c r="M145" i="166"/>
  <c r="O145" i="166" s="1"/>
  <c r="T145" i="167" l="1"/>
  <c r="C146" i="167"/>
  <c r="T145" i="165"/>
  <c r="C146" i="165"/>
  <c r="R146" i="165"/>
  <c r="C146" i="166"/>
  <c r="T145" i="166"/>
  <c r="J146" i="165" l="1"/>
  <c r="F146" i="165"/>
  <c r="E146" i="165" s="1"/>
  <c r="F146" i="166"/>
  <c r="E146" i="166" s="1"/>
  <c r="J146" i="166"/>
  <c r="J146" i="167"/>
  <c r="F146" i="167"/>
  <c r="E146" i="167" s="1"/>
  <c r="N146" i="166" l="1"/>
  <c r="P146" i="166" s="1"/>
  <c r="K146" i="166"/>
  <c r="N146" i="167"/>
  <c r="P146" i="167" s="1"/>
  <c r="K146" i="167"/>
  <c r="N146" i="165"/>
  <c r="P146" i="165" s="1"/>
  <c r="K146" i="165"/>
  <c r="G147" i="167" l="1"/>
  <c r="R147" i="167" s="1"/>
  <c r="R18" i="167" s="1"/>
  <c r="B146" i="167"/>
  <c r="L146" i="167"/>
  <c r="M146" i="167"/>
  <c r="O146" i="167" s="1"/>
  <c r="B146" i="165"/>
  <c r="L146" i="165"/>
  <c r="G147" i="165"/>
  <c r="M146" i="165"/>
  <c r="O146" i="165" s="1"/>
  <c r="B146" i="166"/>
  <c r="M146" i="166"/>
  <c r="O146" i="166" s="1"/>
  <c r="L146" i="166"/>
  <c r="G147" i="166"/>
  <c r="R147" i="166" s="1"/>
  <c r="R18" i="166" s="1"/>
  <c r="C147" i="166" l="1"/>
  <c r="T146" i="166"/>
  <c r="R147" i="165"/>
  <c r="R18" i="165" s="1"/>
  <c r="C147" i="167"/>
  <c r="T146" i="167"/>
  <c r="T146" i="165"/>
  <c r="C147" i="165"/>
  <c r="J147" i="165" l="1"/>
  <c r="F147" i="165"/>
  <c r="E147" i="165" s="1"/>
  <c r="J147" i="167"/>
  <c r="F147" i="167"/>
  <c r="E147" i="167" s="1"/>
  <c r="J147" i="166"/>
  <c r="F147" i="166"/>
  <c r="E147" i="166" s="1"/>
  <c r="K147" i="167" l="1"/>
  <c r="N147" i="167"/>
  <c r="P147" i="167" s="1"/>
  <c r="P18" i="167" s="1"/>
  <c r="K147" i="166"/>
  <c r="N147" i="166"/>
  <c r="P147" i="166" s="1"/>
  <c r="P18" i="166" s="1"/>
  <c r="K147" i="165"/>
  <c r="N147" i="165"/>
  <c r="P147" i="165" s="1"/>
  <c r="P18" i="165" s="1"/>
  <c r="W61" i="162" s="1"/>
  <c r="L147" i="166" l="1"/>
  <c r="M147" i="166"/>
  <c r="O147" i="166" s="1"/>
  <c r="L147" i="165"/>
  <c r="M147" i="165"/>
  <c r="O147" i="165" s="1"/>
  <c r="L147" i="167"/>
  <c r="M147" i="167"/>
  <c r="O147" i="167" s="1"/>
  <c r="T147" i="165" l="1"/>
  <c r="T18" i="165" s="1"/>
  <c r="B147" i="165"/>
  <c r="B25" i="165" s="1"/>
  <c r="T19" i="165" s="1"/>
  <c r="C62" i="162" s="1"/>
  <c r="T147" i="167"/>
  <c r="T18" i="167" s="1"/>
  <c r="E54" i="162" s="1"/>
  <c r="B147" i="167"/>
  <c r="B25" i="167" s="1"/>
  <c r="T19" i="167" s="1"/>
  <c r="T147" i="166"/>
  <c r="T18" i="166" s="1"/>
  <c r="E52" i="162" s="1"/>
  <c r="B147" i="166"/>
  <c r="B25" i="166" s="1"/>
  <c r="T19" i="166" s="1"/>
  <c r="AF61" i="162" l="1"/>
  <c r="E53" i="162"/>
</calcChain>
</file>

<file path=xl/sharedStrings.xml><?xml version="1.0" encoding="utf-8"?>
<sst xmlns="http://schemas.openxmlformats.org/spreadsheetml/2006/main" count="793" uniqueCount="204">
  <si>
    <t>AMC</t>
  </si>
  <si>
    <t>Effect of Deductions</t>
  </si>
  <si>
    <t>Total</t>
  </si>
  <si>
    <t>Year 1</t>
  </si>
  <si>
    <t>Year 3</t>
  </si>
  <si>
    <t>Year 5</t>
  </si>
  <si>
    <t>Year 10</t>
  </si>
  <si>
    <t>What you might get back?</t>
  </si>
  <si>
    <t>Effective Growth Rate</t>
  </si>
  <si>
    <t>Investor Name</t>
  </si>
  <si>
    <t>SIPP</t>
  </si>
  <si>
    <t>Other</t>
  </si>
  <si>
    <t>Element of Charge</t>
  </si>
  <si>
    <t>At the end of the year</t>
  </si>
  <si>
    <t>Investment and Firm Details</t>
  </si>
  <si>
    <t>Date</t>
  </si>
  <si>
    <t>ISA</t>
  </si>
  <si>
    <t>Max Initial Adviser charge</t>
  </si>
  <si>
    <t>Max Ongoing Adviser Charge</t>
  </si>
  <si>
    <t>(%)</t>
  </si>
  <si>
    <t>Investment Management Charge</t>
  </si>
  <si>
    <t>Regular Investment</t>
  </si>
  <si>
    <t>Initial Investment</t>
  </si>
  <si>
    <t>Wrapper</t>
  </si>
  <si>
    <t>Income</t>
  </si>
  <si>
    <t>Income To Date</t>
  </si>
  <si>
    <t>Managers Initial Base Charge</t>
  </si>
  <si>
    <t>Advisers Initial Charge - Lump</t>
  </si>
  <si>
    <t>Adviser's Initial Charge - Regular</t>
  </si>
  <si>
    <t>Adviser Ongoing  Charge</t>
  </si>
  <si>
    <t>Income yield</t>
  </si>
  <si>
    <t>Investment Adviser Charge</t>
  </si>
  <si>
    <t>Yes</t>
  </si>
  <si>
    <t>No</t>
  </si>
  <si>
    <t>Reinvest Income</t>
  </si>
  <si>
    <t>Illustration Generation Form</t>
  </si>
  <si>
    <t>Rate of Growth</t>
  </si>
  <si>
    <r>
      <t xml:space="preserve">Re-invest income? </t>
    </r>
    <r>
      <rPr>
        <sz val="8"/>
        <rFont val="Verdana"/>
        <family val="2"/>
      </rPr>
      <t>(</t>
    </r>
    <r>
      <rPr>
        <i/>
        <sz val="8"/>
        <rFont val="Verdana"/>
        <family val="2"/>
      </rPr>
      <t>Yes/No</t>
    </r>
    <r>
      <rPr>
        <sz val="8"/>
        <rFont val="Verdana"/>
        <family val="2"/>
      </rPr>
      <t>)</t>
    </r>
  </si>
  <si>
    <t>Assumed Income Yield</t>
  </si>
  <si>
    <t>Discretionary Manager</t>
  </si>
  <si>
    <t>Investment Type</t>
  </si>
  <si>
    <t>Additional Investment</t>
  </si>
  <si>
    <t xml:space="preserve"> - please select a manager - </t>
  </si>
  <si>
    <t>Offshore Bond</t>
  </si>
  <si>
    <t>Regular Withdrawal</t>
  </si>
  <si>
    <t>Regular Investment/Withdrawal?</t>
  </si>
  <si>
    <t>No Regular</t>
  </si>
  <si>
    <t>Validation for Min Regular Investment</t>
  </si>
  <si>
    <t>Validation for Min Initial Investment</t>
  </si>
  <si>
    <t>Effect of deductions to date</t>
  </si>
  <si>
    <t>Withdrawals to date</t>
  </si>
  <si>
    <t xml:space="preserve"> Regular Amount</t>
  </si>
  <si>
    <t>Account set-up fee</t>
  </si>
  <si>
    <t>Lump sum contribution amount</t>
  </si>
  <si>
    <t>Regular contribution amount</t>
  </si>
  <si>
    <t>From</t>
  </si>
  <si>
    <t>To</t>
  </si>
  <si>
    <t>C&amp;E Charge</t>
  </si>
  <si>
    <t>Regular withdrawal amount</t>
  </si>
  <si>
    <t>Monthly</t>
  </si>
  <si>
    <t>Quarterly</t>
  </si>
  <si>
    <t>1/2 Yearly</t>
  </si>
  <si>
    <t>Yearly</t>
  </si>
  <si>
    <t>M</t>
  </si>
  <si>
    <t>Q</t>
  </si>
  <si>
    <t>S</t>
  </si>
  <si>
    <t>A</t>
  </si>
  <si>
    <t>m</t>
  </si>
  <si>
    <t>Reg</t>
  </si>
  <si>
    <t>Client Details</t>
  </si>
  <si>
    <t>Effective Rate of Growth</t>
  </si>
  <si>
    <t xml:space="preserve">Initial Charge – Lump Sum </t>
  </si>
  <si>
    <t xml:space="preserve">Initial Charge – Regular </t>
  </si>
  <si>
    <t xml:space="preserve">Annual Charges </t>
  </si>
  <si>
    <t>Investment to date</t>
  </si>
  <si>
    <t>Dated:</t>
  </si>
  <si>
    <t>Client Name</t>
  </si>
  <si>
    <t>Projected value that you might get back</t>
  </si>
  <si>
    <t xml:space="preserve">Illustration </t>
  </si>
  <si>
    <t xml:space="preserve"> Estimated Transfer?</t>
  </si>
  <si>
    <t>Custody &amp; Execution Ongoing Charge</t>
  </si>
  <si>
    <t>Investment Details</t>
  </si>
  <si>
    <t xml:space="preserve">Please complete the details below to produce your client illustrations on the following tab. </t>
  </si>
  <si>
    <r>
      <t>The figures set out on this page are not guaranteed.  They are based on notional rates of growth after the allocated share of dealing costs and expenses have been met and serve only to illustrate the effects of fees and charges paid through the discretionary platform service on the value of the investment.  The notional rates of growth may not be achieved and the allocated share of dealing costs and expenses will depend on factors including the frequency of portfolio changes as well as its composition and the number of other investors with similar holdings.</t>
    </r>
    <r>
      <rPr>
        <sz val="7"/>
        <color indexed="63"/>
        <rFont val="Verdana"/>
        <family val="2"/>
      </rPr>
      <t xml:space="preserve"> </t>
    </r>
    <r>
      <rPr>
        <b/>
        <sz val="7"/>
        <color indexed="63"/>
        <rFont val="Verdana"/>
        <family val="2"/>
      </rPr>
      <t>The actual performance of each investment and full details of all fees, charges and expenses are available to the investor concerned via their Account.  As with growth rates, the yield figures used are illustrative only and are not guaranteed.</t>
    </r>
  </si>
  <si>
    <t xml:space="preserve">Please specify below the rates of Charges that you would like to agree with your client. </t>
  </si>
  <si>
    <t>Annual AMC for Band</t>
  </si>
  <si>
    <t>Monthly AMC for Band</t>
  </si>
  <si>
    <t>CUM AMC</t>
  </si>
  <si>
    <t>Income Reinvested (Yes or No)</t>
  </si>
  <si>
    <t>Excluded initial charges (C&amp;E Fee)</t>
  </si>
  <si>
    <t>TBC WB</t>
  </si>
  <si>
    <t>Included initial charges</t>
  </si>
  <si>
    <t>IRR on Investor Payments &amp; Receipts</t>
  </si>
  <si>
    <t>Opening Investment (B)</t>
  </si>
  <si>
    <t>Reg Investment
(F)</t>
  </si>
  <si>
    <t>Capital Growth (excluding Income element) (G)</t>
  </si>
  <si>
    <t>Income Received
(D)</t>
  </si>
  <si>
    <t>Reg Withdrawal
(E)</t>
  </si>
  <si>
    <t>Income Paid out (H)</t>
  </si>
  <si>
    <t>Initial charge 
(I)</t>
  </si>
  <si>
    <t>AMC
(J)</t>
  </si>
  <si>
    <t>Closing Adj to Reg W/D</t>
  </si>
  <si>
    <t xml:space="preserve">Closing Investment (C) </t>
  </si>
  <si>
    <t>Additional regular withdrawals 
(non-fee world)</t>
  </si>
  <si>
    <t>Closing investment balance (non fee world)</t>
  </si>
  <si>
    <t>Effect of Deductions (K)</t>
  </si>
  <si>
    <t>Investment
(L)</t>
  </si>
  <si>
    <t>Cumulative Withdrawals</t>
  </si>
  <si>
    <t>Income to date</t>
  </si>
  <si>
    <t>Capital at Period end</t>
  </si>
  <si>
    <t>Capital</t>
  </si>
  <si>
    <t>Fees</t>
  </si>
  <si>
    <t>This column picks up all cash movements (after deduction of Account Set Up fee - WB to approve)
IRR taken of:
 - initial investment (less Account set up fee)
 - regular withdrawals
 - regular investments
 - income paid out
 - closing capital balance</t>
  </si>
  <si>
    <t>Simply the closing Investment from the previous line</t>
  </si>
  <si>
    <t>The last column on this spreadsheet is driven by the selected frequency above (monthly for now).  As such we would bring in any regular investment amount from above on every line.  This can also cater for other frequencies.</t>
  </si>
  <si>
    <t>The growth rate brought in is assumed to include both income and capital elements.
Capital income = Opening balance x ((1+(growth rate - income rate))^(1/12)-1)</t>
  </si>
  <si>
    <t>Income received = Opening balance x ((1+(income rate))^(1/12)-1)</t>
  </si>
  <si>
    <t>If the frequency column at the end indicates this is a regular withdrawal month, then the regular withdrawal amount is listed below.</t>
  </si>
  <si>
    <t>If income is not flagged for reinvestment above, then any income received is assumed to be paid out to the investor below.</t>
  </si>
  <si>
    <t>Initial charge = Regular Investment x (Managers Initial Base Charge + Advisers Initial Charge Regular)
Except for fiirst line which is based on Advisors initial charge lump sum rate.</t>
  </si>
  <si>
    <t>AMC calculated based on the AMC band rates indicated above.</t>
  </si>
  <si>
    <t>Amount to reduce the regular withdrawal to what is available</t>
  </si>
  <si>
    <t>The investors closing balance at the month end.</t>
  </si>
  <si>
    <t>Additional withdrawals that could have been paid out in a non-fee world before the investors capital would be depleted.</t>
  </si>
  <si>
    <t>The additional income that would have been earned on the difference between closing balances in a real versus non-fee world.
Includes:
 - income on additional capital balance (opening)
 - fees not paid (current month)</t>
  </si>
  <si>
    <t>What the closing balance would have been in the absense of fees.
Simply grow previous months closing balance and adjust for columns flagged as capital</t>
  </si>
  <si>
    <t>Sum of Additional growth column</t>
  </si>
  <si>
    <t>Growth Rate (Capital including Income Growth)</t>
  </si>
  <si>
    <t>Regular Frequency</t>
  </si>
  <si>
    <t>Investment Strategy</t>
  </si>
  <si>
    <t>Weighting</t>
  </si>
  <si>
    <t>Strategy</t>
  </si>
  <si>
    <t>Min Initial Investment</t>
  </si>
  <si>
    <t>Min Additional Investment</t>
  </si>
  <si>
    <t>Min Regular Investment</t>
  </si>
  <si>
    <t>Min Regular Withdrawal</t>
  </si>
  <si>
    <t>C&amp;E Initial Charge</t>
  </si>
  <si>
    <t>DM Model ongoing Charge</t>
  </si>
  <si>
    <t>Product Provider</t>
  </si>
  <si>
    <t>Product Type</t>
  </si>
  <si>
    <t>Indicative Asset Management Charges</t>
  </si>
  <si>
    <t>Underlying Asset Management Charges</t>
  </si>
  <si>
    <t>Please indicate the indicative underlying Asset Management Charges for the investment portfolio.</t>
  </si>
  <si>
    <t>If you would like to create an Illustration for a bespoke model, please include the new strategy name below.</t>
  </si>
  <si>
    <t xml:space="preserve"> - please select the strategy -</t>
  </si>
  <si>
    <t>Financial Adviser</t>
  </si>
  <si>
    <t>Adviser Charge</t>
  </si>
  <si>
    <t>dps Select</t>
  </si>
  <si>
    <t>Adviser Charging</t>
  </si>
  <si>
    <t xml:space="preserve">     Ongoing Adviser Charge (%)</t>
  </si>
  <si>
    <t xml:space="preserve">Please select below the Investment Strategies for which you wish to prepare the illustration. </t>
  </si>
  <si>
    <t>GIA</t>
  </si>
  <si>
    <t>Fee of Strategy 1</t>
  </si>
  <si>
    <t>Fee of Strategy 2</t>
  </si>
  <si>
    <t>Fee of Strategy 3</t>
  </si>
  <si>
    <t>Fee of Strategy 4</t>
  </si>
  <si>
    <t>Weighted Fee of Strategy 1</t>
  </si>
  <si>
    <t>Weighted Fee of Strategy 2</t>
  </si>
  <si>
    <t>Weighted Fee of Strategy 3</t>
  </si>
  <si>
    <t>Weighted Fee of Strategy 4</t>
  </si>
  <si>
    <t>Weighted Annual Fee</t>
  </si>
  <si>
    <t>Adviser Firm</t>
  </si>
  <si>
    <t>Estimated Transfer Value</t>
  </si>
  <si>
    <t>Lump Sum Investment Amount</t>
  </si>
  <si>
    <t>Initial Regular Investment</t>
  </si>
  <si>
    <t>Investment Wording</t>
  </si>
  <si>
    <t>Validation for Investment Wording</t>
  </si>
  <si>
    <t>Regular Investment Only</t>
  </si>
  <si>
    <t>Currency?</t>
  </si>
  <si>
    <t>Currency</t>
  </si>
  <si>
    <t>GBP Sterling</t>
  </si>
  <si>
    <t>US Dollars</t>
  </si>
  <si>
    <t>Euros</t>
  </si>
  <si>
    <t>QROPS</t>
  </si>
  <si>
    <t>Custody &amp; Execution Charge</t>
  </si>
  <si>
    <t>Custody &amp; Execution Set-up Fee</t>
  </si>
  <si>
    <t>Product</t>
  </si>
  <si>
    <t>Strategy 1</t>
  </si>
  <si>
    <t>Strategy 2</t>
  </si>
  <si>
    <t>-</t>
  </si>
  <si>
    <t>Strategy 3</t>
  </si>
  <si>
    <t>Strategy 4</t>
  </si>
  <si>
    <t xml:space="preserve">Monthly </t>
  </si>
  <si>
    <t>The levels of growth used for the illustration depends on the type of Tax Wrapper selected above. If a tax wrapper is selected, assumed growth rates of 2%, 5% &amp; 8% are used.  Where a General Investment Account is selected assumed growth rates of 1.5%, 4.5% &amp; 7.5% are used.</t>
  </si>
  <si>
    <t>Investment Manager</t>
  </si>
  <si>
    <t>Select charging basis below:</t>
  </si>
  <si>
    <t>Lump Sum Initial Adviser Charging Basis</t>
  </si>
  <si>
    <t>Fixed Charge</t>
  </si>
  <si>
    <t>Percentage Charge</t>
  </si>
  <si>
    <t>Client's first account?</t>
  </si>
  <si>
    <t xml:space="preserve">     Initial Adviser Charge - Lump Sum</t>
  </si>
  <si>
    <t>(£)</t>
  </si>
  <si>
    <t>($)</t>
  </si>
  <si>
    <t>(€)</t>
  </si>
  <si>
    <t>iGuard</t>
  </si>
  <si>
    <t>Smart Investment Management</t>
  </si>
  <si>
    <t>iGuard Defensive</t>
  </si>
  <si>
    <t>iGuard Cautious</t>
  </si>
  <si>
    <t>iGuard Cautious +</t>
  </si>
  <si>
    <t>iGuard Balanced</t>
  </si>
  <si>
    <t>iGuard Balanced +</t>
  </si>
  <si>
    <t>iGuard Aggressive Growth</t>
  </si>
  <si>
    <t>iGuard Aggressive Growth +</t>
  </si>
  <si>
    <t xml:space="preserve">Please go to the tab below and print the illustration.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</si>
</sst>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0.0%"/>
    <numFmt numFmtId="165" formatCode="0.000%"/>
    <numFmt numFmtId="166" formatCode="&quot;£&quot;#,##0.00"/>
    <numFmt numFmtId="167" formatCode="_-&quot;£&quot;* #,##0_-;\-&quot;£&quot;* #,##0_-;_-&quot;£&quot;* &quot;-&quot;??_-;_-@_-"/>
    <numFmt numFmtId="168" formatCode="0.00000000000%"/>
    <numFmt numFmtId="169" formatCode="#,##0.00_ ;\-#,##0.00\ "/>
    <numFmt numFmtId="170" formatCode="_-[$£-809]* #,##0.00_-;\-[$£-809]* #,##0.00_-;_-[$£-809]* &quot;-&quot;??_-;_-@_-"/>
    <numFmt numFmtId="171" formatCode="_-[$$-409]* #,##0.00_ ;_-[$$-409]* \-#,##0.00\ ;_-[$$-409]* &quot;-&quot;??_ ;_-@_ "/>
    <numFmt numFmtId="172" formatCode="_-[$€-2]\ * #,##0.00_-;\-[$€-2]\ * #,##0.00_-;_-[$€-2]\ * &quot;-&quot;??_-;_-@_-"/>
  </numFmts>
  <fonts count="83" x14ac:knownFonts="1">
    <font>
      <sz val="10"/>
      <name val="Arial"/>
    </font>
    <font>
      <sz val="10"/>
      <name val="Arial"/>
      <family val="2"/>
    </font>
    <font>
      <sz val="8"/>
      <name val="Arial"/>
      <family val="2"/>
    </font>
    <font>
      <b/>
      <sz val="10"/>
      <name val="Arial"/>
      <family val="2"/>
    </font>
    <font>
      <sz val="10"/>
      <name val="Arial"/>
      <family val="2"/>
    </font>
    <font>
      <sz val="10"/>
      <color indexed="48"/>
      <name val="Arial"/>
      <family val="2"/>
    </font>
    <font>
      <sz val="8"/>
      <color indexed="30"/>
      <name val="Verdana"/>
      <family val="2"/>
    </font>
    <font>
      <sz val="8"/>
      <color indexed="30"/>
      <name val="Arial"/>
      <family val="2"/>
    </font>
    <font>
      <b/>
      <sz val="8"/>
      <color indexed="30"/>
      <name val="Verdana"/>
      <family val="2"/>
    </font>
    <font>
      <sz val="10"/>
      <color indexed="30"/>
      <name val="Arial"/>
      <family val="2"/>
    </font>
    <font>
      <b/>
      <sz val="10"/>
      <color indexed="30"/>
      <name val="Verdana"/>
      <family val="2"/>
    </font>
    <font>
      <b/>
      <sz val="11"/>
      <color indexed="30"/>
      <name val="Verdana"/>
      <family val="2"/>
    </font>
    <font>
      <sz val="8"/>
      <name val="Arial"/>
      <family val="2"/>
    </font>
    <font>
      <b/>
      <sz val="8"/>
      <name val="Verdana"/>
      <family val="2"/>
    </font>
    <font>
      <sz val="8"/>
      <name val="Verdana"/>
      <family val="2"/>
    </font>
    <font>
      <b/>
      <i/>
      <sz val="8"/>
      <name val="Verdana"/>
      <family val="2"/>
    </font>
    <font>
      <b/>
      <sz val="10"/>
      <name val="Verdana"/>
      <family val="2"/>
    </font>
    <font>
      <b/>
      <sz val="11"/>
      <color indexed="9"/>
      <name val="Calibri"/>
      <family val="2"/>
    </font>
    <font>
      <b/>
      <i/>
      <sz val="9"/>
      <name val="Verdana"/>
      <family val="2"/>
    </font>
    <font>
      <i/>
      <sz val="8"/>
      <name val="Verdana"/>
      <family val="2"/>
    </font>
    <font>
      <sz val="10"/>
      <color indexed="62"/>
      <name val="Arial"/>
      <family val="2"/>
    </font>
    <font>
      <sz val="7"/>
      <color indexed="63"/>
      <name val="Verdana"/>
      <family val="2"/>
    </font>
    <font>
      <b/>
      <sz val="7"/>
      <color indexed="63"/>
      <name val="Verdana"/>
      <family val="2"/>
    </font>
    <font>
      <sz val="10"/>
      <color indexed="30"/>
      <name val="Verdana"/>
      <family val="2"/>
    </font>
    <font>
      <i/>
      <sz val="10"/>
      <name val="Arial"/>
      <family val="2"/>
    </font>
    <font>
      <sz val="9"/>
      <name val="Arial"/>
      <family val="2"/>
    </font>
    <font>
      <b/>
      <i/>
      <sz val="10"/>
      <name val="Arial"/>
      <family val="2"/>
    </font>
    <font>
      <sz val="11"/>
      <color theme="0"/>
      <name val="Calibri"/>
      <family val="2"/>
      <scheme val="minor"/>
    </font>
    <font>
      <b/>
      <sz val="11"/>
      <color rgb="FFFA7D00"/>
      <name val="Calibri"/>
      <family val="2"/>
      <scheme val="minor"/>
    </font>
    <font>
      <b/>
      <sz val="11"/>
      <color theme="0"/>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8"/>
      <color rgb="FF0070C0"/>
      <name val="Verdana"/>
      <family val="2"/>
    </font>
    <font>
      <b/>
      <sz val="11"/>
      <color theme="1"/>
      <name val="Calibri"/>
      <family val="2"/>
      <scheme val="minor"/>
    </font>
    <font>
      <sz val="11"/>
      <color theme="0" tint="-4.9989318521683403E-2"/>
      <name val="Calibri"/>
      <family val="2"/>
      <scheme val="minor"/>
    </font>
    <font>
      <sz val="10"/>
      <color rgb="FFFF0000"/>
      <name val="Arial"/>
      <family val="2"/>
    </font>
    <font>
      <b/>
      <i/>
      <sz val="9"/>
      <color rgb="FFFF0000"/>
      <name val="Verdana"/>
      <family val="2"/>
    </font>
    <font>
      <b/>
      <sz val="8"/>
      <color theme="1" tint="0.14999847407452621"/>
      <name val="Verdana"/>
      <family val="2"/>
    </font>
    <font>
      <sz val="10"/>
      <color theme="0" tint="-0.249977111117893"/>
      <name val="Arial"/>
      <family val="2"/>
    </font>
    <font>
      <b/>
      <sz val="10"/>
      <color rgb="FFFF0000"/>
      <name val="Arial"/>
      <family val="2"/>
    </font>
    <font>
      <b/>
      <sz val="10"/>
      <color theme="0" tint="-0.249977111117893"/>
      <name val="Arial"/>
      <family val="2"/>
    </font>
    <font>
      <sz val="10"/>
      <color rgb="FF0070C0"/>
      <name val="Arial"/>
      <family val="2"/>
    </font>
    <font>
      <b/>
      <sz val="11"/>
      <name val="Calibri"/>
      <family val="2"/>
      <scheme val="minor"/>
    </font>
    <font>
      <b/>
      <sz val="10"/>
      <color theme="3"/>
      <name val="Arial"/>
      <family val="2"/>
    </font>
    <font>
      <b/>
      <sz val="10"/>
      <color rgb="FF0070C0"/>
      <name val="Arial"/>
      <family val="2"/>
    </font>
    <font>
      <b/>
      <i/>
      <sz val="10"/>
      <color theme="3"/>
      <name val="Arial"/>
      <family val="2"/>
    </font>
    <font>
      <b/>
      <i/>
      <sz val="10"/>
      <color rgb="FFFF0000"/>
      <name val="Arial"/>
      <family val="2"/>
    </font>
    <font>
      <b/>
      <i/>
      <sz val="10"/>
      <color rgb="FF0070C0"/>
      <name val="Arial"/>
      <family val="2"/>
    </font>
    <font>
      <b/>
      <i/>
      <sz val="10"/>
      <color theme="0" tint="-0.249977111117893"/>
      <name val="Arial"/>
      <family val="2"/>
    </font>
    <font>
      <sz val="10"/>
      <color theme="3"/>
      <name val="Arial"/>
      <family val="2"/>
    </font>
    <font>
      <b/>
      <sz val="10"/>
      <color rgb="FF3F3F3F"/>
      <name val="Arial"/>
      <family val="2"/>
    </font>
    <font>
      <sz val="11"/>
      <name val="Calibri"/>
      <family val="2"/>
      <scheme val="minor"/>
    </font>
    <font>
      <b/>
      <sz val="10"/>
      <color rgb="FFFF0000"/>
      <name val="Verdana"/>
      <family val="2"/>
    </font>
    <font>
      <sz val="8"/>
      <color theme="1" tint="0.14999847407452621"/>
      <name val="Verdana"/>
      <family val="2"/>
    </font>
    <font>
      <sz val="10"/>
      <color theme="0" tint="-0.34998626667073579"/>
      <name val="Arial"/>
      <family val="2"/>
    </font>
    <font>
      <b/>
      <sz val="8"/>
      <color rgb="FFFF0000"/>
      <name val="Verdana"/>
      <family val="2"/>
    </font>
    <font>
      <sz val="8"/>
      <color rgb="FFFF0000"/>
      <name val="Verdana"/>
      <family val="2"/>
    </font>
    <font>
      <sz val="8"/>
      <color rgb="FFFF0000"/>
      <name val="Arial"/>
      <family val="2"/>
    </font>
    <font>
      <b/>
      <sz val="8"/>
      <color rgb="FFFF0000"/>
      <name val="Arial"/>
      <family val="2"/>
    </font>
    <font>
      <sz val="10"/>
      <color rgb="FFFF0000"/>
      <name val="Verdana"/>
      <family val="2"/>
    </font>
    <font>
      <sz val="10"/>
      <color rgb="FF0A3466"/>
      <name val="Arial"/>
      <family val="2"/>
    </font>
    <font>
      <sz val="10"/>
      <color rgb="FF63B1E5"/>
      <name val="Arial"/>
      <family val="2"/>
    </font>
    <font>
      <sz val="14"/>
      <color rgb="FF63B1E5"/>
      <name val="Verdana"/>
      <family val="2"/>
    </font>
    <font>
      <sz val="8"/>
      <color rgb="FF63B1E5"/>
      <name val="Verdana"/>
      <family val="2"/>
    </font>
    <font>
      <sz val="8"/>
      <color rgb="FF63B1E5"/>
      <name val="Arial"/>
      <family val="2"/>
    </font>
    <font>
      <sz val="7"/>
      <color rgb="FF404040"/>
      <name val="Verdana"/>
      <family val="2"/>
    </font>
    <font>
      <i/>
      <sz val="8"/>
      <color rgb="FFFF0000"/>
      <name val="Verdana"/>
      <family val="2"/>
    </font>
    <font>
      <b/>
      <i/>
      <sz val="8"/>
      <color rgb="FF800629"/>
      <name val="Verdana"/>
      <family val="2"/>
    </font>
    <font>
      <b/>
      <sz val="7"/>
      <color rgb="FF404040"/>
      <name val="Verdana"/>
      <family val="2"/>
    </font>
    <font>
      <b/>
      <sz val="8"/>
      <color rgb="FFFFFFFF"/>
      <name val="Verdana"/>
      <family val="2"/>
    </font>
    <font>
      <b/>
      <sz val="10"/>
      <color rgb="FF404040"/>
      <name val="Verdana"/>
      <family val="2"/>
    </font>
    <font>
      <b/>
      <i/>
      <sz val="18"/>
      <color rgb="FFFFFFFF"/>
      <name val="Verdana"/>
      <family val="2"/>
    </font>
    <font>
      <b/>
      <i/>
      <sz val="11"/>
      <color rgb="FFFFFFFF"/>
      <name val="Verdana"/>
      <family val="2"/>
    </font>
    <font>
      <sz val="8"/>
      <color rgb="FF404040"/>
      <name val="Verdana"/>
      <family val="2"/>
    </font>
    <font>
      <sz val="10"/>
      <color rgb="FF404040"/>
      <name val="Arial"/>
      <family val="2"/>
    </font>
    <font>
      <sz val="10"/>
      <color rgb="FF3CC0C1"/>
      <name val="Arial"/>
      <family val="2"/>
    </font>
    <font>
      <b/>
      <i/>
      <sz val="20"/>
      <color rgb="FF9F9476"/>
      <name val="Verdana"/>
      <family val="2"/>
    </font>
    <font>
      <b/>
      <sz val="12"/>
      <color rgb="FF9F9476"/>
      <name val="Verdana"/>
      <family val="2"/>
    </font>
    <font>
      <b/>
      <sz val="10"/>
      <color rgb="FF9F9476"/>
      <name val="Verdana"/>
      <family val="2"/>
    </font>
    <font>
      <b/>
      <sz val="8"/>
      <color rgb="FF9F9476"/>
      <name val="Verdana"/>
      <family val="2"/>
    </font>
    <font>
      <b/>
      <sz val="8"/>
      <color theme="0"/>
      <name val="Verdana"/>
      <family val="2"/>
    </font>
    <font>
      <sz val="10"/>
      <name val="Calibri"/>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2F2F2"/>
      </patternFill>
    </fill>
    <fill>
      <patternFill patternType="solid">
        <fgColor rgb="FFA5A5A5"/>
      </patternFill>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9F9476"/>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thin">
        <color indexed="64"/>
      </left>
      <right/>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right/>
      <top/>
      <bottom style="medium">
        <color indexed="64"/>
      </bottom>
      <diagonal/>
    </border>
    <border>
      <left style="medium">
        <color indexed="64"/>
      </left>
      <right/>
      <top style="medium">
        <color indexed="9"/>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9"/>
      </left>
      <right style="medium">
        <color indexed="64"/>
      </right>
      <top style="medium">
        <color indexed="9"/>
      </top>
      <bottom style="medium">
        <color indexed="9"/>
      </bottom>
      <diagonal/>
    </border>
    <border>
      <left style="medium">
        <color indexed="9"/>
      </left>
      <right style="medium">
        <color indexed="64"/>
      </right>
      <top style="medium">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thin">
        <color theme="1" tint="0.14996795556505021"/>
      </bottom>
      <diagonal/>
    </border>
    <border>
      <left/>
      <right/>
      <top style="thin">
        <color theme="1" tint="0.14996795556505021"/>
      </top>
      <bottom/>
      <diagonal/>
    </border>
    <border>
      <left style="double">
        <color rgb="FF3F3F3F"/>
      </left>
      <right style="double">
        <color rgb="FF3F3F3F"/>
      </right>
      <top/>
      <bottom/>
      <diagonal/>
    </border>
    <border>
      <left style="double">
        <color rgb="FF3F3F3F"/>
      </left>
      <right style="double">
        <color rgb="FF3F3F3F"/>
      </right>
      <top style="double">
        <color rgb="FF3F3F3F"/>
      </top>
      <bottom/>
      <diagonal/>
    </border>
    <border>
      <left style="thin">
        <color theme="0"/>
      </left>
      <right style="thin">
        <color theme="0"/>
      </right>
      <top style="thin">
        <color theme="0"/>
      </top>
      <bottom style="thin">
        <color theme="0"/>
      </bottom>
      <diagonal/>
    </border>
    <border>
      <left style="double">
        <color rgb="FF3F3F3F"/>
      </left>
      <right/>
      <top/>
      <bottom style="double">
        <color rgb="FF3F3F3F"/>
      </bottom>
      <diagonal/>
    </border>
    <border>
      <left style="double">
        <color rgb="FF3F3F3F"/>
      </left>
      <right style="double">
        <color rgb="FF3F3F3F"/>
      </right>
      <top/>
      <bottom style="double">
        <color rgb="FF3F3F3F"/>
      </bottom>
      <diagonal/>
    </border>
    <border>
      <left/>
      <right style="medium">
        <color indexed="64"/>
      </right>
      <top/>
      <bottom style="medium">
        <color theme="4" tint="0.39997558519241921"/>
      </bottom>
      <diagonal/>
    </border>
    <border>
      <left/>
      <right/>
      <top style="thin">
        <color rgb="FF3F3F3F"/>
      </top>
      <bottom/>
      <diagonal/>
    </border>
    <border>
      <left/>
      <right style="medium">
        <color indexed="64"/>
      </right>
      <top style="thin">
        <color rgb="FF3F3F3F"/>
      </top>
      <bottom/>
      <diagonal/>
    </border>
    <border>
      <left style="thin">
        <color indexed="64"/>
      </left>
      <right style="double">
        <color rgb="FF3F3F3F"/>
      </right>
      <top style="thin">
        <color indexed="64"/>
      </top>
      <bottom style="thin">
        <color indexed="64"/>
      </bottom>
      <diagonal/>
    </border>
    <border>
      <left style="thin">
        <color indexed="64"/>
      </left>
      <right style="double">
        <color rgb="FF3F3F3F"/>
      </right>
      <top style="thin">
        <color indexed="64"/>
      </top>
      <bottom/>
      <diagonal/>
    </border>
    <border>
      <left style="thin">
        <color indexed="64"/>
      </left>
      <right style="double">
        <color rgb="FF3F3F3F"/>
      </right>
      <top/>
      <bottom/>
      <diagonal/>
    </border>
    <border>
      <left style="thin">
        <color indexed="64"/>
      </left>
      <right style="double">
        <color rgb="FF3F3F3F"/>
      </right>
      <top/>
      <bottom style="thin">
        <color indexed="64"/>
      </bottom>
      <diagonal/>
    </border>
    <border>
      <left style="thin">
        <color rgb="FF3F3F3F"/>
      </left>
      <right style="double">
        <color rgb="FF3F3F3F"/>
      </right>
      <top/>
      <bottom/>
      <diagonal/>
    </border>
    <border>
      <left style="thin">
        <color rgb="FF3F3F3F"/>
      </left>
      <right style="double">
        <color rgb="FF3F3F3F"/>
      </right>
      <top/>
      <bottom style="thin">
        <color rgb="FF3F3F3F"/>
      </bottom>
      <diagonal/>
    </border>
    <border>
      <left style="thin">
        <color rgb="FF3F3F3F"/>
      </left>
      <right style="double">
        <color rgb="FF3F3F3F"/>
      </right>
      <top style="thin">
        <color rgb="FF3F3F3F"/>
      </top>
      <bottom/>
      <diagonal/>
    </border>
    <border>
      <left style="thin">
        <color rgb="FF3F3F3F"/>
      </left>
      <right style="double">
        <color rgb="FF3F3F3F"/>
      </right>
      <top style="thin">
        <color rgb="FF3F3F3F"/>
      </top>
      <bottom style="thin">
        <color rgb="FF3F3F3F"/>
      </bottom>
      <diagonal/>
    </border>
    <border>
      <left/>
      <right style="double">
        <color rgb="FF3F3F3F"/>
      </right>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top/>
      <bottom/>
      <diagonal/>
    </border>
    <border>
      <left/>
      <right style="thin">
        <color rgb="FF231F20"/>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808080"/>
      </left>
      <right style="thin">
        <color rgb="FF808080"/>
      </right>
      <top style="thin">
        <color rgb="FF808080"/>
      </top>
      <bottom style="thin">
        <color rgb="FF808080"/>
      </bottom>
      <diagonal/>
    </border>
    <border>
      <left/>
      <right style="thin">
        <color theme="0"/>
      </right>
      <top/>
      <bottom/>
      <diagonal/>
    </border>
    <border>
      <left/>
      <right style="double">
        <color rgb="FF3F3F3F"/>
      </right>
      <top style="double">
        <color rgb="FF3F3F3F"/>
      </top>
      <bottom style="double">
        <color rgb="FF3F3F3F"/>
      </bottom>
      <diagonal/>
    </border>
    <border>
      <left/>
      <right/>
      <top style="thin">
        <color rgb="FF3E3E40"/>
      </top>
      <bottom/>
      <diagonal/>
    </border>
    <border>
      <left/>
      <right/>
      <top style="thin">
        <color rgb="FF231F20"/>
      </top>
      <bottom style="thin">
        <color rgb="FF3E3E40"/>
      </bottom>
      <diagonal/>
    </border>
    <border>
      <left/>
      <right/>
      <top/>
      <bottom style="thin">
        <color rgb="FF3E3E4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rgb="FF800629"/>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rgb="FF800629"/>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rgb="FF800629"/>
      </right>
      <top/>
      <bottom style="medium">
        <color theme="0"/>
      </bottom>
      <diagonal/>
    </border>
    <border>
      <left style="medium">
        <color rgb="FF800629"/>
      </left>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left>
      <right style="medium">
        <color theme="0"/>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rgb="FF800629"/>
      </left>
      <right/>
      <top/>
      <bottom style="medium">
        <color theme="0"/>
      </bottom>
      <diagonal/>
    </border>
    <border>
      <left style="medium">
        <color rgb="FF800629"/>
      </left>
      <right/>
      <top/>
      <bottom/>
      <diagonal/>
    </border>
    <border>
      <left/>
      <right/>
      <top/>
      <bottom style="thick">
        <color rgb="FFAAAAAB"/>
      </bottom>
      <diagonal/>
    </border>
    <border>
      <left style="thick">
        <color rgb="FFAAAAAB"/>
      </left>
      <right/>
      <top/>
      <bottom/>
      <diagonal/>
    </border>
    <border>
      <left/>
      <right style="thick">
        <color rgb="FFAAAAAB"/>
      </right>
      <top/>
      <bottom/>
      <diagonal/>
    </border>
    <border>
      <left/>
      <right/>
      <top style="thick">
        <color rgb="FFAAAAAB"/>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F9476"/>
      </left>
      <right style="thin">
        <color indexed="64"/>
      </right>
      <top style="thin">
        <color rgb="FF9F9476"/>
      </top>
      <bottom/>
      <diagonal/>
    </border>
    <border>
      <left style="thin">
        <color indexed="64"/>
      </left>
      <right style="thin">
        <color indexed="64"/>
      </right>
      <top style="thin">
        <color rgb="FF9F9476"/>
      </top>
      <bottom/>
      <diagonal/>
    </border>
    <border>
      <left style="thin">
        <color indexed="64"/>
      </left>
      <right style="thin">
        <color rgb="FF9F9476"/>
      </right>
      <top style="thin">
        <color rgb="FF9F9476"/>
      </top>
      <bottom/>
      <diagonal/>
    </border>
    <border>
      <left style="thin">
        <color rgb="FF9F9476"/>
      </left>
      <right style="thin">
        <color indexed="64"/>
      </right>
      <top/>
      <bottom style="thin">
        <color rgb="FF9F9476"/>
      </bottom>
      <diagonal/>
    </border>
    <border>
      <left style="thin">
        <color indexed="64"/>
      </left>
      <right style="thin">
        <color indexed="64"/>
      </right>
      <top/>
      <bottom style="thin">
        <color rgb="FF9F9476"/>
      </bottom>
      <diagonal/>
    </border>
    <border>
      <left style="thin">
        <color indexed="64"/>
      </left>
      <right style="thin">
        <color rgb="FF9F9476"/>
      </right>
      <top/>
      <bottom style="thin">
        <color rgb="FF9F9476"/>
      </bottom>
      <diagonal/>
    </border>
    <border>
      <left style="thin">
        <color rgb="FF9F9476"/>
      </left>
      <right style="thin">
        <color indexed="64"/>
      </right>
      <top style="thin">
        <color rgb="FF9F9476"/>
      </top>
      <bottom style="thin">
        <color rgb="FF346523"/>
      </bottom>
      <diagonal/>
    </border>
    <border>
      <left style="thin">
        <color indexed="64"/>
      </left>
      <right style="thin">
        <color indexed="64"/>
      </right>
      <top style="thin">
        <color rgb="FF9F9476"/>
      </top>
      <bottom style="thin">
        <color rgb="FF346523"/>
      </bottom>
      <diagonal/>
    </border>
    <border>
      <left style="thin">
        <color indexed="64"/>
      </left>
      <right style="thin">
        <color rgb="FF9F9476"/>
      </right>
      <top style="thin">
        <color rgb="FF9F9476"/>
      </top>
      <bottom style="thin">
        <color rgb="FF346523"/>
      </bottom>
      <diagonal/>
    </border>
    <border>
      <left style="thin">
        <color rgb="FF9F9476"/>
      </left>
      <right style="medium">
        <color theme="0"/>
      </right>
      <top/>
      <bottom style="medium">
        <color theme="0"/>
      </bottom>
      <diagonal/>
    </border>
    <border>
      <left style="medium">
        <color theme="0"/>
      </left>
      <right style="thin">
        <color rgb="FF9F9476"/>
      </right>
      <top/>
      <bottom style="medium">
        <color theme="0"/>
      </bottom>
      <diagonal/>
    </border>
    <border>
      <left style="thin">
        <color rgb="FF9F9476"/>
      </left>
      <right style="medium">
        <color theme="0"/>
      </right>
      <top style="medium">
        <color theme="0"/>
      </top>
      <bottom style="medium">
        <color theme="0"/>
      </bottom>
      <diagonal/>
    </border>
    <border>
      <left style="medium">
        <color theme="0"/>
      </left>
      <right style="thin">
        <color rgb="FF9F9476"/>
      </right>
      <top style="medium">
        <color theme="0"/>
      </top>
      <bottom style="medium">
        <color theme="0"/>
      </bottom>
      <diagonal/>
    </border>
    <border>
      <left style="thin">
        <color rgb="FF9F9476"/>
      </left>
      <right/>
      <top style="medium">
        <color theme="0"/>
      </top>
      <bottom style="medium">
        <color theme="0"/>
      </bottom>
      <diagonal/>
    </border>
    <border>
      <left/>
      <right style="thin">
        <color rgb="FF9F9476"/>
      </right>
      <top style="medium">
        <color theme="0"/>
      </top>
      <bottom style="medium">
        <color theme="0"/>
      </bottom>
      <diagonal/>
    </border>
    <border>
      <left style="thin">
        <color rgb="FF9F9476"/>
      </left>
      <right style="medium">
        <color theme="0"/>
      </right>
      <top style="medium">
        <color theme="0"/>
      </top>
      <bottom style="thin">
        <color rgb="FF9F9476"/>
      </bottom>
      <diagonal/>
    </border>
    <border>
      <left/>
      <right style="medium">
        <color theme="0"/>
      </right>
      <top style="medium">
        <color theme="0"/>
      </top>
      <bottom style="thin">
        <color rgb="FF9F9476"/>
      </bottom>
      <diagonal/>
    </border>
    <border>
      <left style="medium">
        <color theme="0"/>
      </left>
      <right style="medium">
        <color theme="0"/>
      </right>
      <top style="medium">
        <color theme="0"/>
      </top>
      <bottom style="thin">
        <color rgb="FF9F9476"/>
      </bottom>
      <diagonal/>
    </border>
    <border>
      <left style="medium">
        <color theme="0"/>
      </left>
      <right style="thin">
        <color rgb="FF9F9476"/>
      </right>
      <top style="medium">
        <color theme="0"/>
      </top>
      <bottom style="thin">
        <color rgb="FF9F9476"/>
      </bottom>
      <diagonal/>
    </border>
    <border>
      <left style="thin">
        <color rgb="FF9F9476"/>
      </left>
      <right style="medium">
        <color theme="0"/>
      </right>
      <top style="thin">
        <color rgb="FF9F9476"/>
      </top>
      <bottom style="medium">
        <color theme="0"/>
      </bottom>
      <diagonal/>
    </border>
    <border>
      <left/>
      <right style="medium">
        <color theme="0"/>
      </right>
      <top style="thin">
        <color rgb="FF9F9476"/>
      </top>
      <bottom style="medium">
        <color theme="0"/>
      </bottom>
      <diagonal/>
    </border>
    <border>
      <left style="medium">
        <color theme="0"/>
      </left>
      <right style="medium">
        <color theme="0"/>
      </right>
      <top style="thin">
        <color rgb="FF9F9476"/>
      </top>
      <bottom style="medium">
        <color theme="0"/>
      </bottom>
      <diagonal/>
    </border>
    <border>
      <left style="medium">
        <color theme="0"/>
      </left>
      <right style="thin">
        <color rgb="FF9F9476"/>
      </right>
      <top style="thin">
        <color rgb="FF9F9476"/>
      </top>
      <bottom style="medium">
        <color theme="0"/>
      </bottom>
      <diagonal/>
    </border>
    <border>
      <left style="medium">
        <color theme="0"/>
      </left>
      <right/>
      <top style="medium">
        <color theme="0"/>
      </top>
      <bottom style="thin">
        <color rgb="FF9F9476"/>
      </bottom>
      <diagonal/>
    </border>
    <border>
      <left/>
      <right/>
      <top style="medium">
        <color theme="0"/>
      </top>
      <bottom style="thin">
        <color rgb="FF9F9476"/>
      </bottom>
      <diagonal/>
    </border>
    <border>
      <left/>
      <right style="medium">
        <color theme="0"/>
      </right>
      <top style="medium">
        <color rgb="FF9F9476"/>
      </top>
      <bottom style="thin">
        <color rgb="FF9F9476"/>
      </bottom>
      <diagonal/>
    </border>
    <border>
      <left style="medium">
        <color theme="0"/>
      </left>
      <right style="medium">
        <color theme="0"/>
      </right>
      <top style="medium">
        <color rgb="FF9F9476"/>
      </top>
      <bottom style="thin">
        <color rgb="FF9F9476"/>
      </bottom>
      <diagonal/>
    </border>
    <border>
      <left style="medium">
        <color theme="0"/>
      </left>
      <right/>
      <top style="medium">
        <color rgb="FF9F9476"/>
      </top>
      <bottom style="thin">
        <color rgb="FF9F9476"/>
      </bottom>
      <diagonal/>
    </border>
    <border>
      <left/>
      <right/>
      <top/>
      <bottom style="medium">
        <color rgb="FFAAAAAB"/>
      </bottom>
      <diagonal/>
    </border>
    <border>
      <left style="medium">
        <color rgb="FFAAAAAB"/>
      </left>
      <right/>
      <top/>
      <bottom/>
      <diagonal/>
    </border>
    <border>
      <left/>
      <right style="medium">
        <color rgb="FFAAAAAB"/>
      </right>
      <top/>
      <bottom/>
      <diagonal/>
    </border>
    <border>
      <left/>
      <right/>
      <top style="medium">
        <color rgb="FFAAAAAB"/>
      </top>
      <bottom/>
      <diagonal/>
    </border>
  </borders>
  <cellStyleXfs count="10">
    <xf numFmtId="0" fontId="0" fillId="0" borderId="0"/>
    <xf numFmtId="0" fontId="28" fillId="4" borderId="25" applyNumberFormat="0" applyAlignment="0" applyProtection="0"/>
    <xf numFmtId="0" fontId="29" fillId="5" borderId="26"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30" fillId="0" borderId="27" applyNumberFormat="0" applyFill="0" applyAlignment="0" applyProtection="0"/>
    <xf numFmtId="0" fontId="31" fillId="6" borderId="25" applyNumberFormat="0" applyAlignment="0" applyProtection="0"/>
    <xf numFmtId="0" fontId="32" fillId="4" borderId="28" applyNumberFormat="0" applyAlignment="0" applyProtection="0"/>
    <xf numFmtId="9" fontId="1" fillId="0" borderId="0" applyFont="0" applyFill="0" applyBorder="0" applyAlignment="0" applyProtection="0"/>
    <xf numFmtId="0" fontId="33" fillId="2" borderId="2" applyBorder="0">
      <alignment horizontal="left"/>
      <protection locked="0"/>
    </xf>
  </cellStyleXfs>
  <cellXfs count="555">
    <xf numFmtId="0" fontId="0" fillId="0" borderId="0" xfId="0"/>
    <xf numFmtId="0" fontId="0" fillId="0" borderId="0" xfId="0" applyBorder="1"/>
    <xf numFmtId="0" fontId="0" fillId="0" borderId="0" xfId="0" applyAlignment="1">
      <alignment vertical="top"/>
    </xf>
    <xf numFmtId="0" fontId="7" fillId="0" borderId="0" xfId="0" applyFont="1" applyBorder="1"/>
    <xf numFmtId="0" fontId="7" fillId="3" borderId="0" xfId="0" applyFont="1" applyFill="1" applyBorder="1"/>
    <xf numFmtId="0" fontId="6" fillId="0" borderId="0" xfId="0" applyFont="1" applyFill="1" applyBorder="1"/>
    <xf numFmtId="0" fontId="8" fillId="0" borderId="0" xfId="0" applyFont="1" applyFill="1" applyBorder="1"/>
    <xf numFmtId="0" fontId="9" fillId="0" borderId="0" xfId="0" applyFont="1" applyBorder="1"/>
    <xf numFmtId="0" fontId="6" fillId="0" borderId="0" xfId="0" applyFont="1" applyBorder="1"/>
    <xf numFmtId="0" fontId="7" fillId="0" borderId="0" xfId="0" applyFont="1" applyFill="1" applyBorder="1"/>
    <xf numFmtId="0" fontId="5" fillId="0" borderId="0" xfId="0" applyFont="1" applyFill="1" applyBorder="1"/>
    <xf numFmtId="0" fontId="6" fillId="0" borderId="0" xfId="0" applyFont="1" applyFill="1" applyBorder="1" applyAlignment="1" applyProtection="1"/>
    <xf numFmtId="0" fontId="10" fillId="0" borderId="0" xfId="0" applyFont="1" applyFill="1" applyBorder="1" applyAlignment="1">
      <alignment horizontal="center"/>
    </xf>
    <xf numFmtId="0" fontId="7" fillId="3" borderId="0" xfId="0" applyFont="1" applyFill="1" applyBorder="1" applyAlignment="1">
      <alignment wrapText="1"/>
    </xf>
    <xf numFmtId="10" fontId="0" fillId="0" borderId="0" xfId="8" applyNumberFormat="1" applyFont="1"/>
    <xf numFmtId="0" fontId="13" fillId="0" borderId="0" xfId="0" applyFont="1" applyFill="1" applyBorder="1"/>
    <xf numFmtId="0" fontId="14" fillId="0" borderId="0" xfId="0" applyFont="1" applyFill="1" applyBorder="1"/>
    <xf numFmtId="0" fontId="12" fillId="3" borderId="0" xfId="0" applyFont="1" applyFill="1" applyBorder="1"/>
    <xf numFmtId="0" fontId="12" fillId="3" borderId="0" xfId="0" applyFont="1" applyFill="1" applyBorder="1" applyAlignment="1">
      <alignment wrapText="1"/>
    </xf>
    <xf numFmtId="0" fontId="4" fillId="0" borderId="0" xfId="0" applyFont="1" applyBorder="1"/>
    <xf numFmtId="0" fontId="1" fillId="0" borderId="0" xfId="0" applyFont="1"/>
    <xf numFmtId="0" fontId="6" fillId="3" borderId="0" xfId="0" applyFont="1" applyFill="1" applyBorder="1" applyAlignment="1">
      <alignment vertical="top" wrapText="1"/>
    </xf>
    <xf numFmtId="0" fontId="7" fillId="3" borderId="0" xfId="0" applyFont="1" applyFill="1" applyBorder="1" applyAlignment="1">
      <alignment vertical="top"/>
    </xf>
    <xf numFmtId="0" fontId="16" fillId="3" borderId="0" xfId="0" applyFont="1" applyFill="1" applyBorder="1" applyAlignment="1">
      <alignment horizontal="center"/>
    </xf>
    <xf numFmtId="0" fontId="10" fillId="3" borderId="0" xfId="0" applyFont="1" applyFill="1" applyBorder="1" applyAlignment="1">
      <alignment horizontal="center"/>
    </xf>
    <xf numFmtId="0" fontId="13" fillId="3" borderId="0" xfId="0" applyFont="1" applyFill="1" applyBorder="1"/>
    <xf numFmtId="0" fontId="15" fillId="3" borderId="0" xfId="0" applyFont="1" applyFill="1" applyBorder="1" applyAlignment="1">
      <alignment horizontal="left"/>
    </xf>
    <xf numFmtId="0" fontId="16" fillId="3" borderId="0" xfId="0" applyFont="1" applyFill="1" applyBorder="1" applyAlignment="1">
      <alignment horizontal="left"/>
    </xf>
    <xf numFmtId="0" fontId="4" fillId="3" borderId="0" xfId="0" applyFont="1" applyFill="1" applyBorder="1"/>
    <xf numFmtId="0" fontId="14" fillId="3" borderId="0" xfId="0" applyFont="1" applyFill="1" applyBorder="1" applyAlignment="1">
      <alignment horizontal="center"/>
    </xf>
    <xf numFmtId="0" fontId="0" fillId="3" borderId="0" xfId="0" applyFill="1" applyBorder="1" applyAlignment="1">
      <alignment horizontal="center"/>
    </xf>
    <xf numFmtId="0" fontId="6" fillId="3" borderId="0" xfId="0" applyFont="1" applyFill="1" applyBorder="1"/>
    <xf numFmtId="0" fontId="0" fillId="0" borderId="0" xfId="0" applyAlignment="1">
      <alignment horizontal="right" vertical="top"/>
    </xf>
    <xf numFmtId="10" fontId="29" fillId="5" borderId="26" xfId="2" applyNumberFormat="1" applyProtection="1">
      <protection locked="0"/>
    </xf>
    <xf numFmtId="0" fontId="0" fillId="0" borderId="0" xfId="0" applyBorder="1" applyProtection="1"/>
    <xf numFmtId="10" fontId="29" fillId="5" borderId="26" xfId="2" applyNumberFormat="1"/>
    <xf numFmtId="0" fontId="29" fillId="5" borderId="26" xfId="2"/>
    <xf numFmtId="44" fontId="29" fillId="5" borderId="26" xfId="2" applyNumberFormat="1"/>
    <xf numFmtId="0" fontId="0" fillId="0" borderId="0" xfId="0" applyFill="1"/>
    <xf numFmtId="0" fontId="20" fillId="0" borderId="0" xfId="0" applyFont="1" applyFill="1"/>
    <xf numFmtId="0" fontId="20" fillId="0" borderId="0" xfId="0" applyFont="1" applyFill="1" applyBorder="1"/>
    <xf numFmtId="0" fontId="14" fillId="0" borderId="0" xfId="0" applyFont="1" applyFill="1" applyBorder="1" applyAlignment="1">
      <alignment vertical="top" wrapText="1"/>
    </xf>
    <xf numFmtId="0" fontId="5" fillId="0" borderId="0" xfId="0" applyFont="1" applyFill="1" applyBorder="1" applyProtection="1"/>
    <xf numFmtId="0" fontId="8" fillId="0" borderId="0" xfId="0" applyFont="1" applyFill="1" applyBorder="1" applyProtection="1"/>
    <xf numFmtId="0" fontId="13" fillId="0" borderId="0" xfId="0" applyFont="1" applyFill="1" applyBorder="1" applyAlignment="1">
      <alignment wrapText="1"/>
    </xf>
    <xf numFmtId="44" fontId="29" fillId="5" borderId="26" xfId="4" applyFont="1" applyFill="1" applyBorder="1" applyProtection="1">
      <protection locked="0"/>
    </xf>
    <xf numFmtId="0" fontId="7" fillId="3" borderId="29" xfId="0" applyFont="1" applyFill="1" applyBorder="1"/>
    <xf numFmtId="0" fontId="10" fillId="3" borderId="29" xfId="0" applyFont="1" applyFill="1" applyBorder="1" applyAlignment="1">
      <alignment horizontal="center"/>
    </xf>
    <xf numFmtId="0" fontId="13" fillId="3" borderId="30" xfId="0" applyFont="1" applyFill="1" applyBorder="1"/>
    <xf numFmtId="0" fontId="15" fillId="3" borderId="30" xfId="0" applyFont="1" applyFill="1" applyBorder="1" applyAlignment="1">
      <alignment horizontal="left"/>
    </xf>
    <xf numFmtId="0" fontId="4" fillId="3" borderId="30" xfId="0" applyFont="1" applyFill="1" applyBorder="1" applyAlignment="1">
      <alignment horizontal="center"/>
    </xf>
    <xf numFmtId="0" fontId="29" fillId="5" borderId="31" xfId="2" applyBorder="1"/>
    <xf numFmtId="0" fontId="3" fillId="7" borderId="3" xfId="0" applyFont="1" applyFill="1" applyBorder="1" applyAlignment="1" applyProtection="1">
      <alignment vertical="top" wrapText="1"/>
    </xf>
    <xf numFmtId="9" fontId="3" fillId="7" borderId="4" xfId="0" applyNumberFormat="1" applyFont="1" applyFill="1" applyBorder="1" applyAlignment="1" applyProtection="1">
      <alignment horizontal="center" vertical="top" wrapText="1"/>
    </xf>
    <xf numFmtId="0" fontId="3" fillId="7" borderId="4" xfId="0" applyFont="1" applyFill="1" applyBorder="1" applyAlignment="1" applyProtection="1">
      <alignment horizontal="center" vertical="top" wrapText="1"/>
    </xf>
    <xf numFmtId="0" fontId="3" fillId="7" borderId="5" xfId="0" applyFont="1" applyFill="1" applyBorder="1" applyAlignment="1" applyProtection="1">
      <alignment horizontal="center" vertical="top" wrapText="1"/>
    </xf>
    <xf numFmtId="44" fontId="29" fillId="5" borderId="32" xfId="4" applyFont="1" applyFill="1" applyBorder="1" applyProtection="1">
      <protection locked="0"/>
    </xf>
    <xf numFmtId="0" fontId="0" fillId="8" borderId="0" xfId="0" applyFill="1" applyAlignment="1" applyProtection="1">
      <alignment vertical="top"/>
    </xf>
    <xf numFmtId="0" fontId="35" fillId="8" borderId="0" xfId="0" applyFont="1" applyFill="1" applyAlignment="1" applyProtection="1">
      <alignment vertical="top"/>
    </xf>
    <xf numFmtId="0" fontId="0" fillId="8" borderId="0" xfId="0" applyFill="1"/>
    <xf numFmtId="0" fontId="0" fillId="7" borderId="0" xfId="0" applyFill="1" applyBorder="1"/>
    <xf numFmtId="0" fontId="7" fillId="3" borderId="33" xfId="0" applyFont="1" applyFill="1" applyBorder="1" applyAlignment="1">
      <alignment vertical="top"/>
    </xf>
    <xf numFmtId="0" fontId="20" fillId="0" borderId="33" xfId="0" applyFont="1" applyFill="1" applyBorder="1" applyProtection="1"/>
    <xf numFmtId="0" fontId="36" fillId="0" borderId="33" xfId="0" applyFont="1" applyFill="1" applyBorder="1" applyProtection="1"/>
    <xf numFmtId="0" fontId="18" fillId="0" borderId="33" xfId="0" applyFont="1" applyFill="1" applyBorder="1" applyAlignment="1">
      <alignment vertical="center"/>
    </xf>
    <xf numFmtId="0" fontId="37" fillId="0" borderId="33" xfId="0" applyFont="1" applyFill="1" applyBorder="1" applyAlignment="1">
      <alignment vertical="center"/>
    </xf>
    <xf numFmtId="9" fontId="38" fillId="7" borderId="1" xfId="8" applyFont="1" applyFill="1" applyBorder="1" applyAlignment="1" applyProtection="1">
      <alignment horizontal="center"/>
    </xf>
    <xf numFmtId="9" fontId="38" fillId="7" borderId="33" xfId="8" applyFont="1" applyFill="1" applyBorder="1" applyAlignment="1" applyProtection="1">
      <alignment horizontal="center"/>
    </xf>
    <xf numFmtId="0" fontId="10" fillId="7" borderId="0" xfId="0" applyFont="1" applyFill="1" applyBorder="1" applyAlignment="1">
      <alignment horizontal="center"/>
    </xf>
    <xf numFmtId="0" fontId="0" fillId="0" borderId="6" xfId="0" applyBorder="1" applyAlignment="1">
      <alignment vertical="top"/>
    </xf>
    <xf numFmtId="0" fontId="0" fillId="0" borderId="0" xfId="0" applyFill="1" applyAlignment="1">
      <alignment vertical="top"/>
    </xf>
    <xf numFmtId="0" fontId="1" fillId="0" borderId="0" xfId="0" applyFont="1" applyAlignment="1">
      <alignment vertical="top"/>
    </xf>
    <xf numFmtId="0" fontId="3" fillId="0" borderId="0" xfId="0" applyFont="1" applyAlignment="1">
      <alignment horizontal="right" vertical="top"/>
    </xf>
    <xf numFmtId="43" fontId="31" fillId="6" borderId="25" xfId="3" applyFont="1" applyFill="1" applyBorder="1" applyAlignment="1">
      <alignment vertical="top" wrapText="1"/>
    </xf>
    <xf numFmtId="10" fontId="31" fillId="6" borderId="25" xfId="6" applyNumberFormat="1" applyAlignment="1">
      <alignment horizontal="right" vertical="top" wrapText="1"/>
    </xf>
    <xf numFmtId="44" fontId="31" fillId="6" borderId="25" xfId="4" applyFont="1" applyFill="1" applyBorder="1" applyAlignment="1" applyProtection="1">
      <alignment vertical="top"/>
    </xf>
    <xf numFmtId="44" fontId="0" fillId="0" borderId="0" xfId="0" applyNumberFormat="1" applyAlignment="1">
      <alignment vertical="top"/>
    </xf>
    <xf numFmtId="0" fontId="31" fillId="6" borderId="25" xfId="6" applyAlignment="1" applyProtection="1">
      <alignment vertical="top"/>
    </xf>
    <xf numFmtId="0" fontId="29" fillId="5" borderId="26" xfId="2" applyAlignment="1" applyProtection="1">
      <alignment vertical="top"/>
    </xf>
    <xf numFmtId="0" fontId="0" fillId="0" borderId="0" xfId="0" applyFill="1" applyAlignment="1" applyProtection="1">
      <alignment vertical="top"/>
    </xf>
    <xf numFmtId="0" fontId="3" fillId="0" borderId="0" xfId="0" applyFont="1" applyFill="1" applyAlignment="1" applyProtection="1">
      <alignment vertical="top"/>
    </xf>
    <xf numFmtId="0" fontId="3" fillId="7" borderId="7" xfId="0" applyFont="1" applyFill="1" applyBorder="1" applyAlignment="1" applyProtection="1">
      <alignment vertical="top"/>
    </xf>
    <xf numFmtId="167" fontId="0" fillId="7" borderId="8" xfId="0" applyNumberFormat="1" applyFill="1" applyBorder="1" applyAlignment="1" applyProtection="1">
      <alignment vertical="top"/>
    </xf>
    <xf numFmtId="44" fontId="17" fillId="5" borderId="34" xfId="2" applyNumberFormat="1" applyFont="1" applyBorder="1" applyAlignment="1" applyProtection="1">
      <alignment vertical="top"/>
      <protection locked="0"/>
    </xf>
    <xf numFmtId="0" fontId="3" fillId="9" borderId="0" xfId="0" applyFont="1" applyFill="1" applyBorder="1" applyAlignment="1" applyProtection="1">
      <alignment vertical="top"/>
    </xf>
    <xf numFmtId="43" fontId="3" fillId="9" borderId="0" xfId="3" applyFont="1" applyFill="1" applyAlignment="1">
      <alignment vertical="top"/>
    </xf>
    <xf numFmtId="167" fontId="0" fillId="7" borderId="9" xfId="0" applyNumberFormat="1" applyFill="1" applyBorder="1" applyAlignment="1" applyProtection="1">
      <alignment vertical="top"/>
    </xf>
    <xf numFmtId="0" fontId="0" fillId="7" borderId="10" xfId="0" applyFill="1" applyBorder="1" applyAlignment="1" applyProtection="1">
      <alignment vertical="top"/>
    </xf>
    <xf numFmtId="0" fontId="0" fillId="7" borderId="11" xfId="0" applyFill="1" applyBorder="1" applyAlignment="1" applyProtection="1">
      <alignment vertical="top"/>
    </xf>
    <xf numFmtId="0" fontId="3" fillId="7" borderId="10" xfId="0" applyFont="1" applyFill="1" applyBorder="1" applyAlignment="1" applyProtection="1">
      <alignment vertical="top"/>
    </xf>
    <xf numFmtId="164" fontId="0" fillId="7" borderId="12" xfId="0" applyNumberFormat="1" applyFill="1" applyBorder="1" applyAlignment="1" applyProtection="1">
      <alignment vertical="top"/>
    </xf>
    <xf numFmtId="43" fontId="1" fillId="8" borderId="0" xfId="3" applyFont="1" applyFill="1" applyAlignment="1" applyProtection="1">
      <alignment vertical="top"/>
    </xf>
    <xf numFmtId="168" fontId="0" fillId="8" borderId="0" xfId="0" applyNumberFormat="1" applyFill="1" applyAlignment="1" applyProtection="1">
      <alignment vertical="top"/>
    </xf>
    <xf numFmtId="43" fontId="1" fillId="8" borderId="6" xfId="3" applyFont="1" applyFill="1" applyBorder="1" applyAlignment="1" applyProtection="1">
      <alignment vertical="top"/>
    </xf>
    <xf numFmtId="0" fontId="24" fillId="0" borderId="0" xfId="0" applyFont="1" applyAlignment="1">
      <alignment vertical="top"/>
    </xf>
    <xf numFmtId="0" fontId="25" fillId="0" borderId="0" xfId="0" applyFont="1" applyAlignment="1">
      <alignment horizontal="left" vertical="top"/>
    </xf>
    <xf numFmtId="0" fontId="39" fillId="8" borderId="0" xfId="0" applyFont="1" applyFill="1" applyAlignment="1" applyProtection="1">
      <alignment vertical="top"/>
    </xf>
    <xf numFmtId="0" fontId="3" fillId="10" borderId="13" xfId="0" applyFont="1" applyFill="1" applyBorder="1" applyAlignment="1" applyProtection="1">
      <alignment vertical="top"/>
    </xf>
    <xf numFmtId="43" fontId="40" fillId="10" borderId="13" xfId="3" applyFont="1" applyFill="1" applyBorder="1" applyAlignment="1" applyProtection="1">
      <alignment vertical="top"/>
    </xf>
    <xf numFmtId="43" fontId="3" fillId="10" borderId="13" xfId="3" applyFont="1" applyFill="1" applyBorder="1" applyAlignment="1" applyProtection="1">
      <alignment vertical="top"/>
    </xf>
    <xf numFmtId="43" fontId="3" fillId="10" borderId="14" xfId="3" applyFont="1" applyFill="1" applyBorder="1" applyAlignment="1" applyProtection="1">
      <alignment vertical="top"/>
    </xf>
    <xf numFmtId="0" fontId="41" fillId="8" borderId="0" xfId="0" applyFont="1" applyFill="1" applyAlignment="1" applyProtection="1">
      <alignment vertical="top"/>
    </xf>
    <xf numFmtId="0" fontId="3" fillId="0" borderId="0" xfId="0" applyFont="1" applyFill="1" applyBorder="1" applyAlignment="1" applyProtection="1">
      <alignment vertical="top"/>
    </xf>
    <xf numFmtId="43" fontId="1" fillId="0" borderId="0" xfId="3" applyFont="1" applyFill="1" applyBorder="1" applyAlignment="1" applyProtection="1">
      <alignment vertical="top"/>
    </xf>
    <xf numFmtId="43" fontId="1" fillId="10" borderId="0" xfId="3" applyFont="1" applyFill="1" applyBorder="1" applyAlignment="1" applyProtection="1">
      <alignment vertical="top"/>
    </xf>
    <xf numFmtId="43" fontId="36" fillId="0" borderId="0" xfId="3" applyFont="1" applyFill="1" applyBorder="1" applyAlignment="1" applyProtection="1">
      <alignment vertical="top"/>
    </xf>
    <xf numFmtId="43" fontId="1" fillId="0" borderId="15" xfId="3" applyFont="1" applyFill="1" applyBorder="1" applyAlignment="1" applyProtection="1">
      <alignment vertical="top"/>
    </xf>
    <xf numFmtId="0" fontId="39" fillId="8" borderId="0" xfId="0" applyFont="1" applyFill="1" applyAlignment="1" applyProtection="1">
      <alignment vertical="top" wrapText="1"/>
    </xf>
    <xf numFmtId="0" fontId="3" fillId="0" borderId="0" xfId="0" applyFont="1" applyBorder="1" applyAlignment="1" applyProtection="1">
      <alignment vertical="top"/>
    </xf>
    <xf numFmtId="43" fontId="3" fillId="0" borderId="0" xfId="3" applyFont="1" applyFill="1" applyBorder="1" applyAlignment="1" applyProtection="1">
      <alignment vertical="top"/>
    </xf>
    <xf numFmtId="0" fontId="3" fillId="10" borderId="0" xfId="0" applyFont="1" applyFill="1" applyBorder="1" applyAlignment="1" applyProtection="1">
      <alignment vertical="top"/>
    </xf>
    <xf numFmtId="43" fontId="3" fillId="10" borderId="0" xfId="3" applyFont="1" applyFill="1" applyBorder="1" applyAlignment="1" applyProtection="1">
      <alignment vertical="top"/>
    </xf>
    <xf numFmtId="43" fontId="40" fillId="10" borderId="0" xfId="3" applyFont="1" applyFill="1" applyBorder="1" applyAlignment="1" applyProtection="1">
      <alignment vertical="top"/>
    </xf>
    <xf numFmtId="43" fontId="3" fillId="10" borderId="15" xfId="3" applyFont="1" applyFill="1" applyBorder="1" applyAlignment="1" applyProtection="1">
      <alignment vertical="top"/>
    </xf>
    <xf numFmtId="43" fontId="36" fillId="0" borderId="0" xfId="3" applyFont="1" applyBorder="1" applyAlignment="1" applyProtection="1">
      <alignment vertical="top"/>
    </xf>
    <xf numFmtId="0" fontId="42" fillId="8" borderId="0" xfId="0" applyFont="1" applyFill="1" applyAlignment="1" applyProtection="1">
      <alignment vertical="top"/>
    </xf>
    <xf numFmtId="0" fontId="43" fillId="0" borderId="0" xfId="0" applyFont="1" applyFill="1" applyAlignment="1" applyProtection="1">
      <alignment horizontal="right" vertical="top"/>
    </xf>
    <xf numFmtId="0" fontId="43" fillId="0" borderId="0" xfId="0" applyFont="1" applyFill="1" applyAlignment="1" applyProtection="1">
      <alignment horizontal="right" vertical="top" wrapText="1"/>
    </xf>
    <xf numFmtId="0" fontId="43" fillId="0" borderId="16" xfId="0" applyFont="1" applyFill="1" applyBorder="1" applyAlignment="1" applyProtection="1">
      <alignment horizontal="right" vertical="top"/>
    </xf>
    <xf numFmtId="0" fontId="43" fillId="0" borderId="0" xfId="0" applyFont="1" applyFill="1" applyBorder="1" applyAlignment="1" applyProtection="1">
      <alignment horizontal="right" vertical="top"/>
    </xf>
    <xf numFmtId="0" fontId="43" fillId="0" borderId="17" xfId="0" applyFont="1" applyFill="1" applyBorder="1" applyAlignment="1" applyProtection="1">
      <alignment horizontal="right" vertical="top"/>
    </xf>
    <xf numFmtId="44" fontId="29" fillId="5" borderId="26" xfId="2" applyNumberFormat="1" applyAlignment="1" applyProtection="1">
      <alignment vertical="top"/>
      <protection locked="0"/>
    </xf>
    <xf numFmtId="10" fontId="29" fillId="5" borderId="26" xfId="2" applyNumberFormat="1" applyAlignment="1" applyProtection="1">
      <alignment vertical="top"/>
      <protection locked="0"/>
    </xf>
    <xf numFmtId="164" fontId="29" fillId="5" borderId="26" xfId="2" applyNumberFormat="1" applyAlignment="1" applyProtection="1">
      <alignment horizontal="right" vertical="top"/>
      <protection locked="0"/>
    </xf>
    <xf numFmtId="165" fontId="29" fillId="5" borderId="26" xfId="2" applyNumberFormat="1" applyAlignment="1" applyProtection="1">
      <alignment vertical="top"/>
      <protection locked="0"/>
    </xf>
    <xf numFmtId="10" fontId="29" fillId="5" borderId="26" xfId="2" applyNumberFormat="1" applyAlignment="1">
      <alignment horizontal="right" vertical="top"/>
    </xf>
    <xf numFmtId="167" fontId="0" fillId="7" borderId="18" xfId="0" applyNumberFormat="1" applyFill="1" applyBorder="1" applyAlignment="1" applyProtection="1">
      <alignment vertical="top"/>
    </xf>
    <xf numFmtId="167" fontId="0" fillId="7" borderId="19" xfId="0" applyNumberForma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Alignment="1">
      <alignment vertical="top"/>
    </xf>
    <xf numFmtId="0" fontId="17" fillId="5" borderId="35" xfId="2" applyNumberFormat="1" applyFont="1" applyBorder="1" applyProtection="1">
      <protection locked="0"/>
    </xf>
    <xf numFmtId="0" fontId="1" fillId="0" borderId="0" xfId="0" applyFont="1" applyBorder="1" applyAlignment="1">
      <alignment vertical="top"/>
    </xf>
    <xf numFmtId="43" fontId="1" fillId="0" borderId="0" xfId="3" applyFont="1" applyBorder="1" applyAlignment="1" applyProtection="1">
      <alignment vertical="top"/>
    </xf>
    <xf numFmtId="43" fontId="1" fillId="0" borderId="15" xfId="3" applyFont="1" applyBorder="1" applyAlignment="1" applyProtection="1">
      <alignment vertical="top"/>
    </xf>
    <xf numFmtId="43" fontId="1" fillId="0" borderId="0" xfId="3" applyNumberFormat="1" applyFont="1" applyBorder="1" applyAlignment="1" applyProtection="1">
      <alignment vertical="top"/>
    </xf>
    <xf numFmtId="43" fontId="1" fillId="0" borderId="15" xfId="3" applyNumberFormat="1" applyFont="1" applyBorder="1" applyAlignment="1" applyProtection="1">
      <alignment vertical="top"/>
    </xf>
    <xf numFmtId="0" fontId="1" fillId="8" borderId="0" xfId="0" applyFont="1" applyFill="1" applyAlignment="1" applyProtection="1">
      <alignment vertical="top"/>
    </xf>
    <xf numFmtId="0" fontId="1" fillId="8" borderId="6" xfId="0" applyFont="1" applyFill="1" applyBorder="1" applyAlignment="1" applyProtection="1">
      <alignment vertical="top"/>
    </xf>
    <xf numFmtId="0" fontId="1" fillId="0" borderId="6" xfId="0" applyFont="1" applyBorder="1" applyAlignment="1">
      <alignment vertical="top"/>
    </xf>
    <xf numFmtId="0" fontId="1" fillId="0" borderId="0" xfId="0" applyFont="1" applyFill="1" applyAlignment="1" applyProtection="1">
      <alignment vertical="top"/>
    </xf>
    <xf numFmtId="0" fontId="44" fillId="11" borderId="27" xfId="5" applyFont="1" applyFill="1" applyBorder="1" applyAlignment="1" applyProtection="1">
      <alignment horizontal="right" vertical="top"/>
    </xf>
    <xf numFmtId="43" fontId="44" fillId="11" borderId="27" xfId="5" applyNumberFormat="1" applyFont="1" applyFill="1" applyBorder="1" applyAlignment="1" applyProtection="1">
      <alignment horizontal="right" vertical="top" wrapText="1"/>
    </xf>
    <xf numFmtId="43" fontId="40" fillId="11" borderId="27" xfId="5" applyNumberFormat="1" applyFont="1" applyFill="1" applyBorder="1" applyAlignment="1" applyProtection="1">
      <alignment horizontal="right" vertical="top" wrapText="1"/>
    </xf>
    <xf numFmtId="43" fontId="44" fillId="11" borderId="36" xfId="5" applyNumberFormat="1" applyFont="1" applyFill="1" applyBorder="1" applyAlignment="1" applyProtection="1">
      <alignment horizontal="right" vertical="top" wrapText="1"/>
    </xf>
    <xf numFmtId="43" fontId="45" fillId="11" borderId="27" xfId="5" applyNumberFormat="1" applyFont="1" applyFill="1" applyBorder="1" applyAlignment="1" applyProtection="1">
      <alignment horizontal="right" vertical="top" wrapText="1"/>
    </xf>
    <xf numFmtId="43" fontId="44" fillId="12" borderId="27" xfId="5" applyNumberFormat="1" applyFont="1" applyFill="1" applyBorder="1" applyAlignment="1" applyProtection="1">
      <alignment horizontal="right" vertical="top" wrapText="1"/>
    </xf>
    <xf numFmtId="0" fontId="41" fillId="8" borderId="27" xfId="5" applyFont="1" applyFill="1" applyAlignment="1" applyProtection="1">
      <alignment vertical="top"/>
    </xf>
    <xf numFmtId="0" fontId="46" fillId="11" borderId="27" xfId="5" applyFont="1" applyFill="1" applyBorder="1" applyAlignment="1" applyProtection="1">
      <alignment horizontal="right" vertical="top"/>
    </xf>
    <xf numFmtId="43" fontId="46" fillId="11" borderId="27" xfId="5" applyNumberFormat="1" applyFont="1" applyFill="1" applyBorder="1" applyAlignment="1" applyProtection="1">
      <alignment horizontal="right" vertical="top" wrapText="1"/>
    </xf>
    <xf numFmtId="43" fontId="47" fillId="11" borderId="27" xfId="5" applyNumberFormat="1" applyFont="1" applyFill="1" applyBorder="1" applyAlignment="1" applyProtection="1">
      <alignment horizontal="right" vertical="top" wrapText="1"/>
    </xf>
    <xf numFmtId="43" fontId="46" fillId="11" borderId="36" xfId="5" applyNumberFormat="1" applyFont="1" applyFill="1" applyBorder="1" applyAlignment="1" applyProtection="1">
      <alignment horizontal="right" vertical="top" wrapText="1"/>
    </xf>
    <xf numFmtId="43" fontId="48" fillId="11" borderId="27" xfId="5" applyNumberFormat="1" applyFont="1" applyFill="1" applyBorder="1" applyAlignment="1" applyProtection="1">
      <alignment horizontal="right" vertical="top" wrapText="1"/>
    </xf>
    <xf numFmtId="43" fontId="46" fillId="12" borderId="27" xfId="5" applyNumberFormat="1" applyFont="1" applyFill="1" applyBorder="1" applyAlignment="1" applyProtection="1">
      <alignment horizontal="right" vertical="top" wrapText="1"/>
    </xf>
    <xf numFmtId="0" fontId="49" fillId="8" borderId="27" xfId="5" applyFont="1" applyFill="1" applyAlignment="1" applyProtection="1">
      <alignment vertical="top"/>
    </xf>
    <xf numFmtId="0" fontId="50" fillId="11" borderId="27" xfId="5" applyFont="1" applyFill="1" applyBorder="1" applyAlignment="1" applyProtection="1">
      <alignment horizontal="left" vertical="top"/>
    </xf>
    <xf numFmtId="43" fontId="50" fillId="11" borderId="27" xfId="5" applyNumberFormat="1" applyFont="1" applyFill="1" applyBorder="1" applyAlignment="1" applyProtection="1">
      <alignment horizontal="left" vertical="top" wrapText="1"/>
    </xf>
    <xf numFmtId="43" fontId="36" fillId="11" borderId="27" xfId="5" applyNumberFormat="1" applyFont="1" applyFill="1" applyBorder="1" applyAlignment="1" applyProtection="1">
      <alignment horizontal="left" vertical="top" wrapText="1"/>
    </xf>
    <xf numFmtId="43" fontId="50" fillId="11" borderId="36" xfId="5" applyNumberFormat="1" applyFont="1" applyFill="1" applyBorder="1" applyAlignment="1" applyProtection="1">
      <alignment horizontal="left" vertical="top" wrapText="1"/>
    </xf>
    <xf numFmtId="43" fontId="42" fillId="11" borderId="27" xfId="5" applyNumberFormat="1" applyFont="1" applyFill="1" applyBorder="1" applyAlignment="1" applyProtection="1">
      <alignment horizontal="left" vertical="top" wrapText="1"/>
    </xf>
    <xf numFmtId="43" fontId="50" fillId="12" borderId="27" xfId="5" applyNumberFormat="1" applyFont="1" applyFill="1" applyBorder="1" applyAlignment="1" applyProtection="1">
      <alignment horizontal="left" vertical="top" wrapText="1"/>
    </xf>
    <xf numFmtId="0" fontId="39" fillId="8" borderId="27" xfId="5" applyFont="1" applyFill="1" applyAlignment="1" applyProtection="1">
      <alignment horizontal="left" vertical="top"/>
    </xf>
    <xf numFmtId="0" fontId="51" fillId="4" borderId="37" xfId="7" applyFont="1" applyBorder="1" applyAlignment="1" applyProtection="1">
      <alignment horizontal="right" vertical="top"/>
    </xf>
    <xf numFmtId="165" fontId="51" fillId="4" borderId="37" xfId="7" applyNumberFormat="1" applyFont="1" applyBorder="1" applyAlignment="1" applyProtection="1">
      <alignment vertical="top"/>
    </xf>
    <xf numFmtId="44" fontId="51" fillId="4" borderId="37" xfId="4" applyFont="1" applyFill="1" applyBorder="1" applyAlignment="1" applyProtection="1">
      <alignment vertical="top"/>
    </xf>
    <xf numFmtId="10" fontId="51" fillId="4" borderId="37" xfId="8" applyNumberFormat="1" applyFont="1" applyFill="1" applyBorder="1" applyAlignment="1" applyProtection="1">
      <alignment vertical="top"/>
    </xf>
    <xf numFmtId="44" fontId="40" fillId="4" borderId="37" xfId="4" applyFont="1" applyFill="1" applyBorder="1" applyAlignment="1" applyProtection="1">
      <alignment vertical="top"/>
    </xf>
    <xf numFmtId="10" fontId="40" fillId="4" borderId="37" xfId="8" applyNumberFormat="1" applyFont="1" applyFill="1" applyBorder="1" applyAlignment="1" applyProtection="1">
      <alignment vertical="top"/>
    </xf>
    <xf numFmtId="44" fontId="51" fillId="4" borderId="38" xfId="4" applyFont="1" applyFill="1" applyBorder="1" applyAlignment="1" applyProtection="1">
      <alignment vertical="top"/>
    </xf>
    <xf numFmtId="44" fontId="45" fillId="4" borderId="0" xfId="4" applyFont="1" applyFill="1" applyBorder="1" applyAlignment="1" applyProtection="1">
      <alignment vertical="top"/>
    </xf>
    <xf numFmtId="44" fontId="51" fillId="4" borderId="15" xfId="4" applyFont="1" applyFill="1" applyBorder="1" applyAlignment="1" applyProtection="1">
      <alignment vertical="top"/>
    </xf>
    <xf numFmtId="9" fontId="51" fillId="4" borderId="0" xfId="8" applyFont="1" applyFill="1" applyBorder="1" applyAlignment="1" applyProtection="1">
      <alignment vertical="top"/>
    </xf>
    <xf numFmtId="44" fontId="51" fillId="4" borderId="0" xfId="8" applyNumberFormat="1" applyFont="1" applyFill="1" applyBorder="1" applyAlignment="1" applyProtection="1">
      <alignment vertical="top"/>
    </xf>
    <xf numFmtId="0" fontId="51" fillId="4" borderId="0" xfId="7" applyFont="1" applyBorder="1" applyAlignment="1" applyProtection="1">
      <alignment horizontal="right" vertical="top"/>
    </xf>
    <xf numFmtId="165" fontId="51" fillId="4" borderId="0" xfId="7" applyNumberFormat="1" applyFont="1" applyBorder="1" applyAlignment="1" applyProtection="1">
      <alignment vertical="top"/>
    </xf>
    <xf numFmtId="44" fontId="51" fillId="4" borderId="0" xfId="4" applyFont="1" applyFill="1" applyBorder="1" applyAlignment="1" applyProtection="1">
      <alignment vertical="top"/>
    </xf>
    <xf numFmtId="10" fontId="51" fillId="4" borderId="0" xfId="8" applyNumberFormat="1" applyFont="1" applyFill="1" applyBorder="1" applyAlignment="1" applyProtection="1">
      <alignment vertical="top"/>
    </xf>
    <xf numFmtId="44" fontId="40" fillId="4" borderId="0" xfId="4" applyFont="1" applyFill="1" applyBorder="1" applyAlignment="1" applyProtection="1">
      <alignment vertical="top"/>
    </xf>
    <xf numFmtId="10" fontId="40" fillId="4" borderId="0" xfId="8" applyNumberFormat="1" applyFont="1" applyFill="1" applyBorder="1" applyAlignment="1" applyProtection="1">
      <alignment vertical="top"/>
    </xf>
    <xf numFmtId="0" fontId="27" fillId="8" borderId="0" xfId="0" applyFont="1" applyFill="1" applyAlignment="1" applyProtection="1">
      <alignment vertical="top"/>
    </xf>
    <xf numFmtId="0" fontId="13" fillId="0" borderId="0" xfId="0" applyFont="1" applyFill="1" applyBorder="1" applyAlignment="1">
      <alignment horizontal="right"/>
    </xf>
    <xf numFmtId="0" fontId="0" fillId="0" borderId="39" xfId="0" applyBorder="1" applyAlignment="1">
      <alignment horizontal="right"/>
    </xf>
    <xf numFmtId="0" fontId="1"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43" xfId="0" applyBorder="1" applyAlignment="1">
      <alignment horizontal="right"/>
    </xf>
    <xf numFmtId="0" fontId="1" fillId="0" borderId="43" xfId="0" applyFont="1" applyBorder="1" applyAlignment="1">
      <alignment horizontal="right"/>
    </xf>
    <xf numFmtId="0" fontId="1" fillId="0" borderId="44" xfId="0" applyFont="1" applyFill="1" applyBorder="1" applyAlignment="1">
      <alignment horizontal="right"/>
    </xf>
    <xf numFmtId="0" fontId="1" fillId="0" borderId="45" xfId="0" applyFont="1" applyBorder="1" applyAlignment="1">
      <alignment horizontal="right"/>
    </xf>
    <xf numFmtId="44" fontId="43" fillId="0" borderId="26" xfId="2" applyNumberFormat="1" applyFont="1" applyFill="1"/>
    <xf numFmtId="0" fontId="0" fillId="0" borderId="44" xfId="0" applyBorder="1"/>
    <xf numFmtId="0" fontId="1" fillId="0" borderId="45" xfId="0" applyFont="1" applyBorder="1" applyAlignment="1">
      <alignment horizontal="left"/>
    </xf>
    <xf numFmtId="0" fontId="1" fillId="0" borderId="45" xfId="0" applyFont="1" applyFill="1" applyBorder="1" applyAlignment="1">
      <alignment horizontal="right"/>
    </xf>
    <xf numFmtId="0" fontId="1" fillId="0" borderId="44" xfId="0" applyFont="1" applyBorder="1" applyAlignment="1">
      <alignment horizontal="right"/>
    </xf>
    <xf numFmtId="14" fontId="43" fillId="0" borderId="26" xfId="2" applyNumberFormat="1" applyFont="1" applyFill="1"/>
    <xf numFmtId="0" fontId="1" fillId="0" borderId="46" xfId="0" applyFont="1" applyFill="1" applyBorder="1" applyAlignment="1">
      <alignment horizontal="right" vertical="center"/>
    </xf>
    <xf numFmtId="0" fontId="1" fillId="0" borderId="46" xfId="0" applyFont="1" applyBorder="1" applyAlignment="1">
      <alignment horizontal="right"/>
    </xf>
    <xf numFmtId="0" fontId="29" fillId="5" borderId="26" xfId="2" applyAlignment="1">
      <alignment horizontal="left"/>
    </xf>
    <xf numFmtId="0" fontId="43" fillId="0" borderId="26" xfId="2" applyFont="1" applyFill="1"/>
    <xf numFmtId="43" fontId="52" fillId="0" borderId="25" xfId="3" applyFont="1" applyFill="1" applyBorder="1" applyAlignment="1">
      <alignment vertical="top" wrapText="1"/>
    </xf>
    <xf numFmtId="43" fontId="52" fillId="0" borderId="25" xfId="3" applyFont="1" applyFill="1" applyBorder="1" applyAlignment="1">
      <alignment horizontal="right" vertical="top" wrapText="1"/>
    </xf>
    <xf numFmtId="0" fontId="14" fillId="0" borderId="0" xfId="0" applyFont="1" applyFill="1" applyBorder="1" applyAlignment="1">
      <alignment horizontal="left" vertical="top" wrapText="1"/>
    </xf>
    <xf numFmtId="2" fontId="29" fillId="5" borderId="26" xfId="8" applyNumberFormat="1" applyFont="1" applyFill="1" applyBorder="1" applyAlignment="1">
      <alignment horizontal="right" vertical="top"/>
    </xf>
    <xf numFmtId="0" fontId="43" fillId="0" borderId="47" xfId="0" applyFont="1" applyFill="1" applyBorder="1" applyAlignment="1" applyProtection="1">
      <alignment horizontal="right" vertical="top"/>
    </xf>
    <xf numFmtId="9" fontId="38" fillId="7" borderId="0" xfId="8" applyFont="1" applyFill="1" applyBorder="1" applyAlignment="1" applyProtection="1">
      <alignment horizontal="center"/>
    </xf>
    <xf numFmtId="0" fontId="13" fillId="3" borderId="0" xfId="0" applyFont="1" applyFill="1" applyBorder="1" applyAlignment="1">
      <alignment horizontal="left" vertical="center" wrapText="1"/>
    </xf>
    <xf numFmtId="0" fontId="53" fillId="0" borderId="48" xfId="0" applyFont="1" applyFill="1" applyBorder="1"/>
    <xf numFmtId="0" fontId="37" fillId="0" borderId="48" xfId="0" applyFont="1" applyFill="1" applyBorder="1" applyAlignment="1">
      <alignment vertical="center"/>
    </xf>
    <xf numFmtId="0" fontId="53" fillId="0" borderId="0" xfId="0" applyFont="1" applyFill="1" applyBorder="1" applyAlignment="1">
      <alignment horizontal="center"/>
    </xf>
    <xf numFmtId="0" fontId="0" fillId="0" borderId="0" xfId="0" applyAlignment="1"/>
    <xf numFmtId="10" fontId="34" fillId="0" borderId="0" xfId="8" applyNumberFormat="1" applyFont="1" applyAlignment="1">
      <alignment horizontal="left"/>
    </xf>
    <xf numFmtId="0" fontId="34" fillId="0" borderId="0" xfId="0" applyFont="1" applyAlignment="1">
      <alignment horizontal="left"/>
    </xf>
    <xf numFmtId="10" fontId="0" fillId="0" borderId="0" xfId="8" applyNumberFormat="1" applyFont="1" applyAlignment="1"/>
    <xf numFmtId="0" fontId="18" fillId="0" borderId="48" xfId="0" applyFont="1" applyFill="1" applyBorder="1" applyAlignment="1">
      <alignment vertical="center"/>
    </xf>
    <xf numFmtId="0" fontId="7" fillId="3" borderId="49" xfId="0" applyFont="1" applyFill="1" applyBorder="1" applyAlignment="1">
      <alignment vertical="top"/>
    </xf>
    <xf numFmtId="0" fontId="16" fillId="0" borderId="50" xfId="0" applyFont="1" applyFill="1" applyBorder="1" applyAlignment="1">
      <alignment horizontal="center"/>
    </xf>
    <xf numFmtId="0" fontId="53" fillId="0" borderId="50" xfId="0" applyFont="1" applyFill="1" applyBorder="1" applyAlignment="1">
      <alignment horizontal="center"/>
    </xf>
    <xf numFmtId="0" fontId="54" fillId="8" borderId="1" xfId="0" applyFont="1" applyFill="1" applyBorder="1" applyAlignment="1" applyProtection="1">
      <alignment horizontal="left"/>
      <protection locked="0"/>
    </xf>
    <xf numFmtId="166" fontId="54" fillId="8" borderId="1" xfId="0" applyNumberFormat="1" applyFont="1" applyFill="1" applyBorder="1" applyAlignment="1" applyProtection="1">
      <alignment horizontal="right"/>
      <protection locked="0"/>
    </xf>
    <xf numFmtId="9" fontId="54" fillId="8" borderId="1" xfId="8" applyFont="1" applyFill="1" applyBorder="1" applyAlignment="1" applyProtection="1">
      <alignment horizontal="center"/>
      <protection locked="0"/>
    </xf>
    <xf numFmtId="10" fontId="54" fillId="8" borderId="1" xfId="8" applyNumberFormat="1" applyFont="1" applyFill="1" applyBorder="1" applyAlignment="1" applyProtection="1">
      <alignment horizontal="center"/>
      <protection locked="0"/>
    </xf>
    <xf numFmtId="0" fontId="5" fillId="3" borderId="0" xfId="0" applyFont="1" applyFill="1" applyBorder="1"/>
    <xf numFmtId="10" fontId="29" fillId="5" borderId="26" xfId="8" applyNumberFormat="1" applyFont="1" applyFill="1" applyBorder="1" applyAlignment="1">
      <alignment horizontal="left"/>
    </xf>
    <xf numFmtId="10" fontId="29" fillId="5" borderId="0" xfId="8" applyNumberFormat="1" applyFont="1" applyFill="1" applyBorder="1" applyAlignment="1">
      <alignment horizontal="left"/>
    </xf>
    <xf numFmtId="10" fontId="43" fillId="0" borderId="26" xfId="8" applyNumberFormat="1" applyFont="1" applyFill="1" applyBorder="1"/>
    <xf numFmtId="10" fontId="55" fillId="0" borderId="20" xfId="8" applyNumberFormat="1" applyFont="1" applyBorder="1"/>
    <xf numFmtId="0" fontId="0" fillId="0" borderId="51" xfId="0" applyBorder="1"/>
    <xf numFmtId="0" fontId="5" fillId="0" borderId="52" xfId="0" applyFont="1" applyFill="1" applyBorder="1"/>
    <xf numFmtId="0" fontId="5" fillId="0" borderId="53" xfId="0" applyFont="1" applyFill="1" applyBorder="1"/>
    <xf numFmtId="0" fontId="0" fillId="0" borderId="54" xfId="0" applyBorder="1"/>
    <xf numFmtId="0" fontId="5" fillId="0" borderId="55" xfId="0" applyFont="1" applyFill="1" applyBorder="1"/>
    <xf numFmtId="0" fontId="0" fillId="0" borderId="56" xfId="0" applyBorder="1"/>
    <xf numFmtId="0" fontId="5" fillId="0" borderId="57" xfId="0" applyFont="1" applyFill="1" applyBorder="1"/>
    <xf numFmtId="0" fontId="8" fillId="0" borderId="57" xfId="0" applyFont="1" applyFill="1" applyBorder="1"/>
    <xf numFmtId="0" fontId="7" fillId="0" borderId="57" xfId="0" applyFont="1" applyBorder="1"/>
    <xf numFmtId="0" fontId="7" fillId="3" borderId="57" xfId="0" applyFont="1" applyFill="1" applyBorder="1"/>
    <xf numFmtId="0" fontId="5" fillId="0" borderId="58" xfId="0" applyFont="1" applyFill="1" applyBorder="1"/>
    <xf numFmtId="0" fontId="9" fillId="0" borderId="52" xfId="0" applyFont="1" applyBorder="1"/>
    <xf numFmtId="0" fontId="8" fillId="3" borderId="57" xfId="0" applyFont="1" applyFill="1" applyBorder="1"/>
    <xf numFmtId="0" fontId="6" fillId="3" borderId="57" xfId="0" applyFont="1" applyFill="1" applyBorder="1"/>
    <xf numFmtId="0" fontId="5" fillId="0" borderId="51" xfId="0" applyFont="1" applyFill="1" applyBorder="1"/>
    <xf numFmtId="0" fontId="11" fillId="3" borderId="52" xfId="0" applyFont="1" applyFill="1" applyBorder="1"/>
    <xf numFmtId="0" fontId="6" fillId="3" borderId="52" xfId="0" applyFont="1" applyFill="1" applyBorder="1"/>
    <xf numFmtId="0" fontId="7" fillId="3" borderId="52" xfId="0" applyFont="1" applyFill="1" applyBorder="1"/>
    <xf numFmtId="0" fontId="5" fillId="0" borderId="54" xfId="0" applyFont="1" applyFill="1" applyBorder="1"/>
    <xf numFmtId="0" fontId="5" fillId="0" borderId="56" xfId="0" applyFont="1" applyFill="1" applyBorder="1"/>
    <xf numFmtId="0" fontId="12" fillId="3" borderId="57" xfId="0" applyFont="1" applyFill="1" applyBorder="1"/>
    <xf numFmtId="0" fontId="20" fillId="0" borderId="52" xfId="0" applyFont="1" applyFill="1" applyBorder="1"/>
    <xf numFmtId="0" fontId="5" fillId="3" borderId="54" xfId="0" applyFont="1" applyFill="1" applyBorder="1"/>
    <xf numFmtId="0" fontId="13" fillId="3" borderId="55" xfId="0" applyFont="1" applyFill="1" applyBorder="1" applyAlignment="1">
      <alignment vertical="center" wrapText="1"/>
    </xf>
    <xf numFmtId="0" fontId="5" fillId="3" borderId="55" xfId="0" applyFont="1" applyFill="1" applyBorder="1"/>
    <xf numFmtId="0" fontId="10" fillId="0" borderId="57" xfId="0" applyFont="1" applyFill="1" applyBorder="1" applyAlignment="1">
      <alignment horizontal="center"/>
    </xf>
    <xf numFmtId="0" fontId="7" fillId="0" borderId="57" xfId="0" applyFont="1" applyFill="1" applyBorder="1"/>
    <xf numFmtId="0" fontId="13" fillId="0" borderId="52" xfId="0" applyFont="1" applyFill="1" applyBorder="1"/>
    <xf numFmtId="0" fontId="10" fillId="0" borderId="52" xfId="0" applyFont="1" applyFill="1" applyBorder="1" applyAlignment="1">
      <alignment horizontal="center"/>
    </xf>
    <xf numFmtId="0" fontId="14" fillId="3" borderId="52" xfId="0" applyFont="1" applyFill="1" applyBorder="1" applyAlignment="1">
      <alignment horizontal="center"/>
    </xf>
    <xf numFmtId="0" fontId="14" fillId="0" borderId="57" xfId="0" applyFont="1" applyFill="1" applyBorder="1" applyAlignment="1">
      <alignment horizontal="left" vertical="top" wrapText="1"/>
    </xf>
    <xf numFmtId="9" fontId="38" fillId="7" borderId="57" xfId="8" applyFont="1" applyFill="1" applyBorder="1" applyAlignment="1" applyProtection="1">
      <alignment horizontal="center"/>
    </xf>
    <xf numFmtId="0" fontId="14" fillId="0" borderId="52" xfId="0" applyFont="1" applyFill="1" applyBorder="1" applyAlignment="1">
      <alignment horizontal="left" vertical="top" wrapText="1"/>
    </xf>
    <xf numFmtId="9" fontId="38" fillId="7" borderId="52" xfId="8" applyFont="1" applyFill="1" applyBorder="1" applyAlignment="1" applyProtection="1">
      <alignment horizontal="center"/>
    </xf>
    <xf numFmtId="0" fontId="7" fillId="0" borderId="52" xfId="0" applyFont="1" applyFill="1" applyBorder="1"/>
    <xf numFmtId="0" fontId="6" fillId="0" borderId="57" xfId="0" applyFont="1" applyFill="1" applyBorder="1"/>
    <xf numFmtId="0" fontId="1" fillId="0" borderId="39" xfId="0" applyFont="1" applyBorder="1"/>
    <xf numFmtId="0" fontId="0" fillId="0" borderId="41" xfId="0" applyBorder="1"/>
    <xf numFmtId="0" fontId="4" fillId="0" borderId="0" xfId="0" applyFont="1" applyBorder="1" applyAlignment="1">
      <alignment horizontal="center"/>
    </xf>
    <xf numFmtId="2" fontId="29" fillId="5" borderId="26" xfId="2" applyNumberFormat="1"/>
    <xf numFmtId="2" fontId="43" fillId="0" borderId="26" xfId="2" applyNumberFormat="1" applyFont="1" applyFill="1"/>
    <xf numFmtId="4" fontId="54" fillId="8" borderId="1" xfId="0" applyNumberFormat="1" applyFont="1" applyFill="1" applyBorder="1" applyAlignment="1" applyProtection="1">
      <alignment horizontal="right"/>
      <protection locked="0"/>
    </xf>
    <xf numFmtId="4" fontId="54" fillId="8" borderId="1" xfId="0" applyNumberFormat="1" applyFont="1" applyFill="1" applyBorder="1" applyAlignment="1" applyProtection="1">
      <alignment horizontal="left"/>
      <protection locked="0"/>
    </xf>
    <xf numFmtId="4" fontId="20" fillId="0" borderId="0" xfId="0" applyNumberFormat="1" applyFont="1" applyFill="1" applyBorder="1"/>
    <xf numFmtId="4" fontId="10" fillId="3" borderId="0" xfId="0" applyNumberFormat="1" applyFont="1" applyFill="1" applyBorder="1" applyAlignment="1">
      <alignment horizontal="center"/>
    </xf>
    <xf numFmtId="4" fontId="23" fillId="3" borderId="0" xfId="0" applyNumberFormat="1" applyFont="1" applyFill="1" applyBorder="1" applyAlignment="1">
      <alignment horizontal="center"/>
    </xf>
    <xf numFmtId="4" fontId="10" fillId="3" borderId="0" xfId="0" applyNumberFormat="1" applyFont="1" applyFill="1" applyBorder="1" applyAlignment="1">
      <alignment horizontal="right"/>
    </xf>
    <xf numFmtId="171" fontId="29" fillId="5" borderId="26" xfId="2" applyNumberFormat="1"/>
    <xf numFmtId="172" fontId="29" fillId="5" borderId="26" xfId="2" applyNumberFormat="1"/>
    <xf numFmtId="169" fontId="43" fillId="0" borderId="26" xfId="2" applyNumberFormat="1" applyFont="1" applyFill="1"/>
    <xf numFmtId="169" fontId="29" fillId="5" borderId="26" xfId="2" applyNumberFormat="1" applyAlignment="1" applyProtection="1">
      <alignment vertical="top"/>
      <protection locked="0"/>
    </xf>
    <xf numFmtId="169" fontId="29" fillId="5" borderId="26" xfId="4" applyNumberFormat="1" applyFont="1" applyFill="1" applyBorder="1" applyProtection="1">
      <protection locked="0"/>
    </xf>
    <xf numFmtId="169" fontId="29" fillId="5" borderId="32" xfId="4" applyNumberFormat="1" applyFont="1" applyFill="1" applyBorder="1" applyProtection="1">
      <protection locked="0"/>
    </xf>
    <xf numFmtId="0" fontId="20" fillId="0" borderId="0" xfId="0" applyFont="1" applyFill="1" applyBorder="1" applyAlignment="1" applyProtection="1">
      <alignment horizontal="center"/>
    </xf>
    <xf numFmtId="170" fontId="29" fillId="5" borderId="26" xfId="2" applyNumberFormat="1"/>
    <xf numFmtId="4" fontId="54" fillId="7" borderId="60" xfId="0" applyNumberFormat="1" applyFont="1" applyFill="1" applyBorder="1" applyAlignment="1">
      <alignment vertical="center"/>
    </xf>
    <xf numFmtId="4" fontId="38" fillId="7" borderId="0" xfId="0" applyNumberFormat="1" applyFont="1" applyFill="1" applyBorder="1" applyAlignment="1">
      <alignment vertical="center"/>
    </xf>
    <xf numFmtId="4" fontId="38" fillId="7" borderId="60" xfId="0" applyNumberFormat="1" applyFont="1" applyFill="1" applyBorder="1" applyAlignment="1">
      <alignment vertical="center"/>
    </xf>
    <xf numFmtId="0" fontId="56" fillId="10" borderId="1" xfId="0" applyFont="1" applyFill="1" applyBorder="1" applyAlignment="1" applyProtection="1"/>
    <xf numFmtId="0" fontId="53" fillId="3" borderId="0" xfId="0" applyFont="1" applyFill="1" applyBorder="1"/>
    <xf numFmtId="9" fontId="57" fillId="10" borderId="1" xfId="8" applyFont="1" applyFill="1" applyBorder="1" applyAlignment="1" applyProtection="1">
      <alignment horizontal="center"/>
      <protection locked="0"/>
    </xf>
    <xf numFmtId="0" fontId="36" fillId="3" borderId="0" xfId="0" applyFont="1" applyFill="1" applyBorder="1"/>
    <xf numFmtId="4" fontId="57" fillId="7" borderId="33" xfId="0" applyNumberFormat="1" applyFont="1" applyFill="1" applyBorder="1" applyAlignment="1">
      <alignment horizontal="right"/>
    </xf>
    <xf numFmtId="0" fontId="58" fillId="0" borderId="33" xfId="0" applyFont="1" applyFill="1" applyBorder="1" applyAlignment="1">
      <alignment vertical="top"/>
    </xf>
    <xf numFmtId="0" fontId="59" fillId="0" borderId="33" xfId="0" applyFont="1" applyFill="1" applyBorder="1" applyAlignment="1">
      <alignment vertical="top"/>
    </xf>
    <xf numFmtId="0" fontId="59" fillId="0" borderId="50" xfId="0" applyFont="1" applyFill="1" applyBorder="1" applyAlignment="1">
      <alignment vertical="top"/>
    </xf>
    <xf numFmtId="0" fontId="57" fillId="3" borderId="0" xfId="0" applyFont="1" applyFill="1" applyBorder="1" applyAlignment="1">
      <alignment vertical="top" wrapText="1"/>
    </xf>
    <xf numFmtId="0" fontId="58" fillId="3" borderId="0" xfId="0" applyFont="1" applyFill="1" applyBorder="1" applyAlignment="1">
      <alignment vertical="top"/>
    </xf>
    <xf numFmtId="4" fontId="36" fillId="0" borderId="0" xfId="0" applyNumberFormat="1" applyFont="1" applyFill="1" applyBorder="1"/>
    <xf numFmtId="4" fontId="58" fillId="3" borderId="0" xfId="0" applyNumberFormat="1" applyFont="1" applyFill="1" applyBorder="1"/>
    <xf numFmtId="4" fontId="36" fillId="3" borderId="0" xfId="0" applyNumberFormat="1" applyFont="1" applyFill="1" applyBorder="1" applyAlignment="1">
      <alignment horizontal="center"/>
    </xf>
    <xf numFmtId="4" fontId="58" fillId="3" borderId="0" xfId="0" applyNumberFormat="1" applyFont="1" applyFill="1" applyBorder="1" applyAlignment="1">
      <alignment horizontal="right"/>
    </xf>
    <xf numFmtId="0" fontId="53" fillId="3" borderId="0" xfId="0" applyFont="1" applyFill="1" applyBorder="1" applyAlignment="1">
      <alignment horizontal="center"/>
    </xf>
    <xf numFmtId="4" fontId="53" fillId="3" borderId="0" xfId="0" applyNumberFormat="1" applyFont="1" applyFill="1" applyBorder="1" applyAlignment="1">
      <alignment horizontal="center"/>
    </xf>
    <xf numFmtId="4" fontId="60" fillId="3" borderId="0" xfId="0" applyNumberFormat="1" applyFont="1" applyFill="1" applyBorder="1" applyAlignment="1">
      <alignment horizontal="center"/>
    </xf>
    <xf numFmtId="4" fontId="53" fillId="3" borderId="0" xfId="0" applyNumberFormat="1" applyFont="1" applyFill="1" applyBorder="1" applyAlignment="1">
      <alignment horizontal="right"/>
    </xf>
    <xf numFmtId="0" fontId="36" fillId="0" borderId="0" xfId="0" applyFont="1" applyFill="1" applyBorder="1"/>
    <xf numFmtId="0" fontId="60" fillId="3" borderId="0" xfId="0" applyFont="1" applyFill="1" applyBorder="1" applyAlignment="1">
      <alignment horizontal="center"/>
    </xf>
    <xf numFmtId="0" fontId="53" fillId="3" borderId="0" xfId="0" applyFont="1" applyFill="1" applyBorder="1" applyAlignment="1">
      <alignment horizontal="right"/>
    </xf>
    <xf numFmtId="0" fontId="57" fillId="0" borderId="33" xfId="0" applyFont="1" applyFill="1" applyBorder="1" applyAlignment="1" applyProtection="1"/>
    <xf numFmtId="0" fontId="56" fillId="10" borderId="59" xfId="0" applyFont="1" applyFill="1" applyBorder="1" applyAlignment="1" applyProtection="1">
      <protection locked="0"/>
    </xf>
    <xf numFmtId="0" fontId="56" fillId="0" borderId="0" xfId="0" applyFont="1" applyFill="1" applyBorder="1"/>
    <xf numFmtId="0" fontId="57" fillId="0" borderId="0" xfId="0" applyFont="1" applyFill="1" applyBorder="1" applyAlignment="1">
      <alignment horizontal="left" vertical="top" wrapText="1"/>
    </xf>
    <xf numFmtId="10" fontId="57" fillId="8" borderId="1" xfId="8" applyNumberFormat="1" applyFont="1" applyFill="1" applyBorder="1" applyAlignment="1" applyProtection="1">
      <alignment horizontal="center"/>
      <protection locked="0"/>
    </xf>
    <xf numFmtId="0" fontId="13" fillId="3" borderId="0" xfId="0" applyFont="1" applyFill="1" applyBorder="1" applyAlignment="1">
      <alignment horizontal="center" vertical="center"/>
    </xf>
    <xf numFmtId="0" fontId="6" fillId="3" borderId="0" xfId="0" applyFont="1" applyFill="1" applyBorder="1" applyAlignment="1">
      <alignment horizontal="center" vertical="top" wrapText="1"/>
    </xf>
    <xf numFmtId="0" fontId="13" fillId="3" borderId="0" xfId="0" applyFont="1" applyFill="1" applyBorder="1" applyAlignment="1">
      <alignment vertical="center"/>
    </xf>
    <xf numFmtId="0" fontId="38" fillId="8" borderId="1" xfId="0" applyFont="1" applyFill="1" applyBorder="1" applyAlignment="1" applyProtection="1">
      <alignment horizontal="center"/>
      <protection locked="0"/>
    </xf>
    <xf numFmtId="0" fontId="54" fillId="8" borderId="1" xfId="0" applyFont="1" applyFill="1" applyBorder="1" applyAlignment="1" applyProtection="1">
      <protection locked="0"/>
    </xf>
    <xf numFmtId="0" fontId="61" fillId="0" borderId="0" xfId="0" applyFont="1" applyBorder="1"/>
    <xf numFmtId="10" fontId="29" fillId="5" borderId="61" xfId="8" applyNumberFormat="1" applyFont="1" applyFill="1" applyBorder="1"/>
    <xf numFmtId="0" fontId="1" fillId="0" borderId="21" xfId="0" applyFont="1" applyBorder="1"/>
    <xf numFmtId="0" fontId="1" fillId="0" borderId="22" xfId="0" applyFont="1" applyBorder="1"/>
    <xf numFmtId="0" fontId="7" fillId="0" borderId="0" xfId="0" applyFont="1" applyBorder="1" applyAlignment="1">
      <alignment horizontal="left" vertical="top"/>
    </xf>
    <xf numFmtId="0" fontId="11" fillId="3" borderId="57" xfId="0" applyFont="1" applyFill="1" applyBorder="1"/>
    <xf numFmtId="10" fontId="29" fillId="7" borderId="0" xfId="8" applyNumberFormat="1" applyFont="1" applyFill="1" applyBorder="1" applyAlignment="1">
      <alignment horizontal="left"/>
    </xf>
    <xf numFmtId="0" fontId="28" fillId="4" borderId="25" xfId="1"/>
    <xf numFmtId="10" fontId="28" fillId="4" borderId="25" xfId="1" applyNumberFormat="1" applyAlignment="1">
      <alignment horizontal="left"/>
    </xf>
    <xf numFmtId="0" fontId="26" fillId="0" borderId="0" xfId="0" applyFont="1"/>
    <xf numFmtId="0" fontId="29" fillId="5" borderId="26" xfId="2" quotePrefix="1" applyAlignment="1">
      <alignment horizontal="left"/>
    </xf>
    <xf numFmtId="0" fontId="14" fillId="0" borderId="0" xfId="0" applyFont="1" applyProtection="1">
      <protection locked="0"/>
    </xf>
    <xf numFmtId="0" fontId="1" fillId="0" borderId="0" xfId="0" applyFont="1" applyFill="1" applyBorder="1"/>
    <xf numFmtId="0" fontId="62" fillId="0" borderId="62" xfId="0" applyFont="1" applyFill="1" applyBorder="1"/>
    <xf numFmtId="0" fontId="63" fillId="0" borderId="62" xfId="0" applyFont="1" applyFill="1" applyBorder="1"/>
    <xf numFmtId="0" fontId="64" fillId="0" borderId="62" xfId="0" applyFont="1" applyFill="1" applyBorder="1"/>
    <xf numFmtId="0" fontId="65" fillId="0" borderId="63" xfId="0" applyFont="1" applyBorder="1" applyAlignment="1">
      <alignment horizontal="left" vertical="top"/>
    </xf>
    <xf numFmtId="0" fontId="64" fillId="0" borderId="63" xfId="0" applyFont="1" applyFill="1" applyBorder="1"/>
    <xf numFmtId="0" fontId="6" fillId="3" borderId="64" xfId="0" applyFont="1" applyFill="1" applyBorder="1"/>
    <xf numFmtId="0" fontId="7" fillId="3" borderId="64" xfId="0" applyFont="1" applyFill="1" applyBorder="1"/>
    <xf numFmtId="0" fontId="38" fillId="8" borderId="1" xfId="0" applyFont="1" applyFill="1" applyBorder="1" applyAlignment="1" applyProtection="1"/>
    <xf numFmtId="0" fontId="0" fillId="8" borderId="88" xfId="0" applyFill="1" applyBorder="1"/>
    <xf numFmtId="0" fontId="0" fillId="8" borderId="89" xfId="0" applyFill="1" applyBorder="1"/>
    <xf numFmtId="0" fontId="0" fillId="8" borderId="90" xfId="0" applyFill="1" applyBorder="1"/>
    <xf numFmtId="0" fontId="0" fillId="8" borderId="91" xfId="0" applyFill="1" applyBorder="1"/>
    <xf numFmtId="166" fontId="38" fillId="0" borderId="0" xfId="0" applyNumberFormat="1" applyFont="1" applyFill="1" applyBorder="1" applyAlignment="1">
      <alignment horizontal="center"/>
    </xf>
    <xf numFmtId="2" fontId="54" fillId="8" borderId="1" xfId="8" applyNumberFormat="1" applyFont="1" applyFill="1" applyBorder="1" applyAlignment="1" applyProtection="1">
      <alignment horizontal="center"/>
      <protection locked="0"/>
    </xf>
    <xf numFmtId="0" fontId="76" fillId="0" borderId="62" xfId="0" applyFont="1" applyFill="1" applyBorder="1"/>
    <xf numFmtId="4" fontId="54" fillId="8" borderId="92" xfId="0" applyNumberFormat="1" applyFont="1" applyFill="1" applyBorder="1" applyAlignment="1" applyProtection="1">
      <alignment horizontal="center"/>
      <protection locked="0"/>
    </xf>
    <xf numFmtId="4" fontId="54" fillId="0" borderId="0" xfId="0" applyNumberFormat="1" applyFont="1" applyFill="1" applyBorder="1" applyAlignment="1" applyProtection="1">
      <alignment horizontal="center"/>
      <protection locked="0"/>
    </xf>
    <xf numFmtId="0" fontId="66" fillId="13" borderId="118" xfId="0" applyFont="1" applyFill="1" applyBorder="1" applyAlignment="1">
      <alignment vertical="center" wrapText="1"/>
    </xf>
    <xf numFmtId="0" fontId="66" fillId="13" borderId="119" xfId="0" applyFont="1" applyFill="1" applyBorder="1" applyAlignment="1">
      <alignment vertical="center" wrapText="1"/>
    </xf>
    <xf numFmtId="0" fontId="66" fillId="13" borderId="120" xfId="0" applyFont="1" applyFill="1" applyBorder="1" applyAlignment="1">
      <alignment vertical="center" wrapText="1"/>
    </xf>
    <xf numFmtId="0" fontId="78" fillId="0" borderId="62" xfId="0" applyFont="1" applyFill="1" applyBorder="1"/>
    <xf numFmtId="0" fontId="79" fillId="3" borderId="63" xfId="0" applyFont="1" applyFill="1" applyBorder="1"/>
    <xf numFmtId="0" fontId="79" fillId="3" borderId="64" xfId="0" applyFont="1" applyFill="1" applyBorder="1"/>
    <xf numFmtId="0" fontId="0" fillId="8" borderId="121" xfId="0" applyFill="1" applyBorder="1"/>
    <xf numFmtId="0" fontId="0" fillId="8" borderId="122" xfId="0" applyFill="1" applyBorder="1"/>
    <xf numFmtId="0" fontId="0" fillId="8" borderId="123" xfId="0" applyFill="1" applyBorder="1"/>
    <xf numFmtId="0" fontId="0" fillId="8" borderId="124" xfId="0" applyFill="1" applyBorder="1"/>
    <xf numFmtId="0" fontId="81" fillId="0" borderId="0" xfId="0" applyFont="1" applyFill="1" applyBorder="1"/>
    <xf numFmtId="166" fontId="54" fillId="0" borderId="0" xfId="0" applyNumberFormat="1" applyFont="1" applyFill="1" applyBorder="1" applyAlignment="1" applyProtection="1">
      <alignment horizontal="right"/>
    </xf>
    <xf numFmtId="0" fontId="82" fillId="0" borderId="0" xfId="0" applyFont="1"/>
    <xf numFmtId="0" fontId="77" fillId="0" borderId="0" xfId="0" applyFont="1" applyBorder="1" applyAlignment="1">
      <alignment horizontal="left"/>
    </xf>
    <xf numFmtId="0" fontId="54" fillId="8" borderId="2" xfId="0" applyFont="1" applyFill="1" applyBorder="1" applyAlignment="1" applyProtection="1">
      <alignment horizontal="left"/>
      <protection locked="0"/>
    </xf>
    <xf numFmtId="0" fontId="54" fillId="8" borderId="23" xfId="0" applyFont="1" applyFill="1" applyBorder="1" applyAlignment="1" applyProtection="1">
      <alignment horizontal="left"/>
      <protection locked="0"/>
    </xf>
    <xf numFmtId="0" fontId="54" fillId="8" borderId="24" xfId="0" applyFont="1" applyFill="1" applyBorder="1" applyAlignment="1" applyProtection="1">
      <alignment horizontal="left"/>
      <protection locked="0"/>
    </xf>
    <xf numFmtId="14" fontId="80" fillId="0" borderId="62" xfId="0" applyNumberFormat="1" applyFont="1" applyFill="1" applyBorder="1" applyAlignment="1">
      <alignment horizontal="right" vertical="center"/>
    </xf>
    <xf numFmtId="0" fontId="14" fillId="0" borderId="0" xfId="0" applyFont="1" applyFill="1" applyBorder="1" applyAlignment="1">
      <alignment horizontal="left" vertical="top" wrapText="1"/>
    </xf>
    <xf numFmtId="0" fontId="14" fillId="3" borderId="0" xfId="0" applyFont="1" applyFill="1" applyBorder="1" applyAlignment="1">
      <alignment horizontal="left" vertical="center" wrapText="1"/>
    </xf>
    <xf numFmtId="4" fontId="57" fillId="7" borderId="0" xfId="0" applyNumberFormat="1" applyFont="1" applyFill="1" applyBorder="1" applyAlignment="1">
      <alignment horizontal="right" vertical="center"/>
    </xf>
    <xf numFmtId="4" fontId="57" fillId="7" borderId="60" xfId="0" applyNumberFormat="1" applyFont="1" applyFill="1" applyBorder="1" applyAlignment="1">
      <alignment horizontal="right" vertical="center"/>
    </xf>
    <xf numFmtId="0" fontId="57" fillId="0" borderId="0" xfId="0" applyFont="1" applyFill="1" applyBorder="1" applyAlignment="1">
      <alignment horizontal="left" vertical="top" wrapText="1"/>
    </xf>
    <xf numFmtId="0" fontId="67" fillId="3" borderId="0" xfId="0" applyFont="1" applyFill="1" applyBorder="1" applyAlignment="1">
      <alignment horizontal="left" vertical="center" wrapText="1"/>
    </xf>
    <xf numFmtId="0" fontId="68" fillId="3" borderId="0" xfId="0" applyFont="1" applyFill="1" applyBorder="1" applyAlignment="1">
      <alignment horizontal="left" vertical="center" wrapText="1"/>
    </xf>
    <xf numFmtId="0" fontId="38" fillId="8" borderId="2" xfId="0" applyFont="1" applyFill="1" applyBorder="1" applyAlignment="1" applyProtection="1">
      <alignment horizontal="left"/>
      <protection locked="0"/>
    </xf>
    <xf numFmtId="0" fontId="38" fillId="8" borderId="23" xfId="0" applyFont="1" applyFill="1" applyBorder="1" applyAlignment="1" applyProtection="1">
      <alignment horizontal="left"/>
      <protection locked="0"/>
    </xf>
    <xf numFmtId="0" fontId="38" fillId="8" borderId="24" xfId="0" applyFont="1" applyFill="1" applyBorder="1" applyAlignment="1" applyProtection="1">
      <alignment horizontal="left"/>
      <protection locked="0"/>
    </xf>
    <xf numFmtId="0" fontId="14" fillId="0" borderId="0" xfId="0" applyFont="1" applyProtection="1">
      <protection locked="0"/>
    </xf>
    <xf numFmtId="0" fontId="66" fillId="13" borderId="73" xfId="0" applyFont="1" applyFill="1" applyBorder="1" applyAlignment="1">
      <alignment horizontal="left" wrapText="1"/>
    </xf>
    <xf numFmtId="0" fontId="66" fillId="13" borderId="0" xfId="0" applyFont="1" applyFill="1" applyBorder="1" applyAlignment="1">
      <alignment horizontal="left" wrapText="1"/>
    </xf>
    <xf numFmtId="0" fontId="66" fillId="13" borderId="74" xfId="0" applyFont="1" applyFill="1" applyBorder="1" applyAlignment="1">
      <alignment horizontal="left" wrapText="1"/>
    </xf>
    <xf numFmtId="9" fontId="66" fillId="10" borderId="75" xfId="0" applyNumberFormat="1" applyFont="1" applyFill="1" applyBorder="1" applyAlignment="1">
      <alignment horizontal="center" vertical="center" wrapText="1"/>
    </xf>
    <xf numFmtId="9" fontId="66" fillId="10" borderId="76" xfId="0" applyNumberFormat="1" applyFont="1" applyFill="1" applyBorder="1" applyAlignment="1">
      <alignment horizontal="center" vertical="center" wrapText="1"/>
    </xf>
    <xf numFmtId="9" fontId="66" fillId="10" borderId="77" xfId="0" applyNumberFormat="1" applyFont="1" applyFill="1" applyBorder="1" applyAlignment="1">
      <alignment horizontal="center" vertical="center" wrapText="1"/>
    </xf>
    <xf numFmtId="0" fontId="69" fillId="10" borderId="78" xfId="0" applyFont="1" applyFill="1" applyBorder="1" applyAlignment="1">
      <alignment horizontal="left" vertical="center" wrapText="1"/>
    </xf>
    <xf numFmtId="0" fontId="69" fillId="10" borderId="67" xfId="0" applyFont="1" applyFill="1" applyBorder="1" applyAlignment="1">
      <alignment horizontal="left" vertical="center" wrapText="1"/>
    </xf>
    <xf numFmtId="0" fontId="69" fillId="10" borderId="69" xfId="0" applyFont="1" applyFill="1" applyBorder="1" applyAlignment="1">
      <alignment horizontal="left" vertical="center" wrapText="1"/>
    </xf>
    <xf numFmtId="4" fontId="66" fillId="10" borderId="67" xfId="4" applyNumberFormat="1" applyFont="1" applyFill="1" applyBorder="1" applyAlignment="1">
      <alignment horizontal="left" vertical="center" wrapText="1"/>
    </xf>
    <xf numFmtId="4" fontId="66" fillId="10" borderId="107" xfId="4" applyNumberFormat="1" applyFont="1" applyFill="1" applyBorder="1" applyAlignment="1">
      <alignment horizontal="left" vertical="center" wrapText="1"/>
    </xf>
    <xf numFmtId="0" fontId="70" fillId="14" borderId="99" xfId="0" applyFont="1" applyFill="1" applyBorder="1" applyAlignment="1">
      <alignment horizontal="left" vertical="center" wrapText="1"/>
    </xf>
    <xf numFmtId="0" fontId="70" fillId="14" borderId="100" xfId="0" applyFont="1" applyFill="1" applyBorder="1" applyAlignment="1">
      <alignment horizontal="left" vertical="center" wrapText="1"/>
    </xf>
    <xf numFmtId="0" fontId="70" fillId="14" borderId="101" xfId="0" applyFont="1" applyFill="1" applyBorder="1" applyAlignment="1">
      <alignment horizontal="left" vertical="center" wrapText="1"/>
    </xf>
    <xf numFmtId="0" fontId="69" fillId="10" borderId="102" xfId="0" applyFont="1" applyFill="1" applyBorder="1" applyAlignment="1">
      <alignment horizontal="left" vertical="center" wrapText="1"/>
    </xf>
    <xf numFmtId="0" fontId="69" fillId="10" borderId="79" xfId="0" applyFont="1" applyFill="1" applyBorder="1" applyAlignment="1">
      <alignment horizontal="left" vertical="center" wrapText="1"/>
    </xf>
    <xf numFmtId="0" fontId="66" fillId="10" borderId="80" xfId="0" applyFont="1" applyFill="1" applyBorder="1" applyAlignment="1">
      <alignment vertical="center" wrapText="1"/>
    </xf>
    <xf numFmtId="0" fontId="66" fillId="10" borderId="103" xfId="0" applyFont="1" applyFill="1" applyBorder="1" applyAlignment="1">
      <alignment vertical="center" wrapText="1"/>
    </xf>
    <xf numFmtId="0" fontId="66" fillId="8" borderId="65" xfId="0" applyFont="1" applyFill="1" applyBorder="1" applyAlignment="1">
      <alignment vertical="center" wrapText="1"/>
    </xf>
    <xf numFmtId="0" fontId="66" fillId="8" borderId="105" xfId="0" applyFont="1" applyFill="1" applyBorder="1" applyAlignment="1">
      <alignment vertical="center" wrapText="1"/>
    </xf>
    <xf numFmtId="0" fontId="69" fillId="10" borderId="104" xfId="0" applyFont="1" applyFill="1" applyBorder="1" applyAlignment="1">
      <alignment horizontal="left" vertical="center" wrapText="1"/>
    </xf>
    <xf numFmtId="0" fontId="66" fillId="10" borderId="65" xfId="0" applyFont="1" applyFill="1" applyBorder="1" applyAlignment="1">
      <alignment vertical="center" wrapText="1"/>
    </xf>
    <xf numFmtId="0" fontId="66" fillId="10" borderId="105" xfId="0" applyFont="1" applyFill="1" applyBorder="1" applyAlignment="1">
      <alignment vertical="center" wrapText="1"/>
    </xf>
    <xf numFmtId="0" fontId="69" fillId="8" borderId="108" xfId="0" applyFont="1" applyFill="1" applyBorder="1" applyAlignment="1">
      <alignment horizontal="left" vertical="center" wrapText="1"/>
    </xf>
    <xf numFmtId="0" fontId="69" fillId="8" borderId="109" xfId="0" applyFont="1" applyFill="1" applyBorder="1" applyAlignment="1">
      <alignment horizontal="left" vertical="center" wrapText="1"/>
    </xf>
    <xf numFmtId="0" fontId="66" fillId="8" borderId="65" xfId="0" applyFont="1" applyFill="1" applyBorder="1" applyAlignment="1">
      <alignment horizontal="left" vertical="center" wrapText="1"/>
    </xf>
    <xf numFmtId="0" fontId="0" fillId="8" borderId="65" xfId="0" applyFill="1" applyBorder="1" applyAlignment="1">
      <alignment horizontal="left" vertical="center" wrapText="1"/>
    </xf>
    <xf numFmtId="0" fontId="0" fillId="8" borderId="105" xfId="0" applyFill="1" applyBorder="1" applyAlignment="1">
      <alignment horizontal="left" vertical="center" wrapText="1"/>
    </xf>
    <xf numFmtId="0" fontId="66" fillId="10" borderId="110" xfId="0" applyFont="1" applyFill="1" applyBorder="1" applyAlignment="1">
      <alignment horizontal="left" vertical="center" wrapText="1"/>
    </xf>
    <xf numFmtId="0" fontId="0" fillId="0" borderId="110" xfId="0" applyBorder="1" applyAlignment="1">
      <alignment horizontal="left" vertical="center" wrapText="1"/>
    </xf>
    <xf numFmtId="0" fontId="0" fillId="0" borderId="111" xfId="0" applyBorder="1" applyAlignment="1">
      <alignment horizontal="left" vertical="center" wrapText="1"/>
    </xf>
    <xf numFmtId="0" fontId="66" fillId="7" borderId="104" xfId="0" applyFont="1" applyFill="1" applyBorder="1" applyAlignment="1">
      <alignment horizontal="left" vertical="center" wrapText="1"/>
    </xf>
    <xf numFmtId="0" fontId="66" fillId="7" borderId="69" xfId="0" applyFont="1" applyFill="1" applyBorder="1" applyAlignment="1">
      <alignment horizontal="left" vertical="center" wrapText="1"/>
    </xf>
    <xf numFmtId="0" fontId="69" fillId="8" borderId="104" xfId="0" applyFont="1" applyFill="1" applyBorder="1" applyAlignment="1">
      <alignment horizontal="left" vertical="center" wrapText="1"/>
    </xf>
    <xf numFmtId="0" fontId="69" fillId="8" borderId="69" xfId="0" applyFont="1" applyFill="1" applyBorder="1" applyAlignment="1">
      <alignment horizontal="left" vertical="center" wrapText="1"/>
    </xf>
    <xf numFmtId="0" fontId="69" fillId="8" borderId="106" xfId="0" applyFont="1" applyFill="1" applyBorder="1" applyAlignment="1">
      <alignment horizontal="left" vertical="center" wrapText="1"/>
    </xf>
    <xf numFmtId="0" fontId="69" fillId="8" borderId="67" xfId="0" applyFont="1" applyFill="1" applyBorder="1" applyAlignment="1">
      <alignment horizontal="left" vertical="center" wrapText="1"/>
    </xf>
    <xf numFmtId="0" fontId="69" fillId="10" borderId="106" xfId="0" applyFont="1" applyFill="1" applyBorder="1" applyAlignment="1">
      <alignment horizontal="left" vertical="center" wrapText="1"/>
    </xf>
    <xf numFmtId="4" fontId="66" fillId="8" borderId="66" xfId="4" applyNumberFormat="1" applyFont="1" applyFill="1" applyBorder="1" applyAlignment="1">
      <alignment horizontal="left" vertical="center" wrapText="1"/>
    </xf>
    <xf numFmtId="4" fontId="66" fillId="8" borderId="67" xfId="4" applyNumberFormat="1" applyFont="1" applyFill="1" applyBorder="1" applyAlignment="1">
      <alignment horizontal="left" vertical="center" wrapText="1"/>
    </xf>
    <xf numFmtId="4" fontId="66" fillId="8" borderId="107" xfId="4" applyNumberFormat="1" applyFont="1" applyFill="1" applyBorder="1" applyAlignment="1">
      <alignment horizontal="left" vertical="center" wrapText="1"/>
    </xf>
    <xf numFmtId="4" fontId="66" fillId="10" borderId="66" xfId="4" applyNumberFormat="1" applyFont="1" applyFill="1" applyBorder="1" applyAlignment="1">
      <alignment horizontal="left" vertical="center" wrapText="1"/>
    </xf>
    <xf numFmtId="0" fontId="69" fillId="10" borderId="65" xfId="0" applyFont="1" applyFill="1" applyBorder="1" applyAlignment="1">
      <alignment horizontal="center" vertical="center" wrapText="1"/>
    </xf>
    <xf numFmtId="0" fontId="66" fillId="7" borderId="65" xfId="0" applyFont="1" applyFill="1" applyBorder="1" applyAlignment="1">
      <alignment horizontal="center" vertical="center" wrapText="1"/>
    </xf>
    <xf numFmtId="9" fontId="66" fillId="10" borderId="65" xfId="0" applyNumberFormat="1" applyFont="1" applyFill="1" applyBorder="1" applyAlignment="1">
      <alignment horizontal="center" vertical="center" wrapText="1"/>
    </xf>
    <xf numFmtId="9" fontId="66" fillId="8" borderId="65" xfId="0" applyNumberFormat="1" applyFont="1" applyFill="1" applyBorder="1" applyAlignment="1">
      <alignment horizontal="center" vertical="center" wrapText="1"/>
    </xf>
    <xf numFmtId="9" fontId="66" fillId="8" borderId="110" xfId="0" applyNumberFormat="1" applyFont="1" applyFill="1" applyBorder="1" applyAlignment="1">
      <alignment horizontal="center" vertical="center" wrapText="1"/>
    </xf>
    <xf numFmtId="3" fontId="66" fillId="8" borderId="65" xfId="0" applyNumberFormat="1" applyFont="1" applyFill="1" applyBorder="1" applyAlignment="1">
      <alignment horizontal="left" vertical="center" wrapText="1"/>
    </xf>
    <xf numFmtId="3" fontId="66" fillId="8" borderId="105" xfId="0" applyNumberFormat="1" applyFont="1" applyFill="1" applyBorder="1" applyAlignment="1">
      <alignment horizontal="left" vertical="center" wrapText="1"/>
    </xf>
    <xf numFmtId="0" fontId="71" fillId="10" borderId="81" xfId="0" applyFont="1" applyFill="1" applyBorder="1" applyAlignment="1">
      <alignment horizontal="center" vertical="center" wrapText="1"/>
    </xf>
    <xf numFmtId="0" fontId="71" fillId="10" borderId="82" xfId="0" applyFont="1" applyFill="1" applyBorder="1" applyAlignment="1">
      <alignment horizontal="center" vertical="center" wrapText="1"/>
    </xf>
    <xf numFmtId="0" fontId="72" fillId="14" borderId="93" xfId="0" applyFont="1" applyFill="1" applyBorder="1" applyAlignment="1">
      <alignment horizontal="left" vertical="center" wrapText="1"/>
    </xf>
    <xf numFmtId="0" fontId="72" fillId="14" borderId="94" xfId="0" applyFont="1" applyFill="1" applyBorder="1" applyAlignment="1">
      <alignment horizontal="left" vertical="center" wrapText="1"/>
    </xf>
    <xf numFmtId="0" fontId="0" fillId="14" borderId="94" xfId="0" applyFill="1" applyBorder="1"/>
    <xf numFmtId="0" fontId="0" fillId="14" borderId="95" xfId="0" applyFill="1" applyBorder="1"/>
    <xf numFmtId="0" fontId="73" fillId="14" borderId="96" xfId="0" applyFont="1" applyFill="1" applyBorder="1" applyAlignment="1">
      <alignment horizontal="left" vertical="top" wrapText="1"/>
    </xf>
    <xf numFmtId="0" fontId="73" fillId="14" borderId="97" xfId="0" applyFont="1" applyFill="1" applyBorder="1" applyAlignment="1">
      <alignment horizontal="left" vertical="top" wrapText="1"/>
    </xf>
    <xf numFmtId="0" fontId="73" fillId="14" borderId="98" xfId="0" applyFont="1" applyFill="1" applyBorder="1" applyAlignment="1">
      <alignment horizontal="left" vertical="top" wrapText="1"/>
    </xf>
    <xf numFmtId="0" fontId="66" fillId="13" borderId="83" xfId="0" applyFont="1" applyFill="1" applyBorder="1" applyAlignment="1">
      <alignment wrapText="1"/>
    </xf>
    <xf numFmtId="0" fontId="74" fillId="10" borderId="84" xfId="0" applyFont="1" applyFill="1" applyBorder="1" applyAlignment="1">
      <alignment horizontal="center" wrapText="1"/>
    </xf>
    <xf numFmtId="14" fontId="74" fillId="10" borderId="84" xfId="0" applyNumberFormat="1" applyFont="1" applyFill="1" applyBorder="1" applyAlignment="1">
      <alignment horizontal="left" wrapText="1"/>
    </xf>
    <xf numFmtId="14" fontId="74" fillId="10" borderId="85" xfId="0" applyNumberFormat="1" applyFont="1" applyFill="1" applyBorder="1" applyAlignment="1">
      <alignment horizontal="left" wrapText="1"/>
    </xf>
    <xf numFmtId="0" fontId="69" fillId="10" borderId="108" xfId="0" applyFont="1" applyFill="1" applyBorder="1" applyAlignment="1">
      <alignment horizontal="left" vertical="center" wrapText="1"/>
    </xf>
    <xf numFmtId="0" fontId="69" fillId="10" borderId="109" xfId="0" applyFont="1" applyFill="1" applyBorder="1" applyAlignment="1">
      <alignment horizontal="left" vertical="center" wrapText="1"/>
    </xf>
    <xf numFmtId="0" fontId="66" fillId="10" borderId="104" xfId="0" applyFont="1" applyFill="1" applyBorder="1" applyAlignment="1">
      <alignment horizontal="left" vertical="center" wrapText="1"/>
    </xf>
    <xf numFmtId="0" fontId="66" fillId="10" borderId="69" xfId="0" applyFont="1" applyFill="1" applyBorder="1" applyAlignment="1">
      <alignment horizontal="left" vertical="center" wrapText="1"/>
    </xf>
    <xf numFmtId="3" fontId="66" fillId="10" borderId="65" xfId="0" applyNumberFormat="1" applyFont="1" applyFill="1" applyBorder="1" applyAlignment="1">
      <alignment horizontal="left" vertical="center" wrapText="1"/>
    </xf>
    <xf numFmtId="3" fontId="66" fillId="10" borderId="105" xfId="0" applyNumberFormat="1" applyFont="1" applyFill="1" applyBorder="1" applyAlignment="1">
      <alignment horizontal="left" vertical="center" wrapText="1"/>
    </xf>
    <xf numFmtId="0" fontId="66" fillId="8" borderId="104" xfId="0" applyFont="1" applyFill="1" applyBorder="1" applyAlignment="1">
      <alignment horizontal="left" vertical="center" wrapText="1"/>
    </xf>
    <xf numFmtId="0" fontId="66" fillId="8" borderId="69" xfId="0" applyFont="1" applyFill="1" applyBorder="1" applyAlignment="1">
      <alignment horizontal="left" vertical="center" wrapText="1"/>
    </xf>
    <xf numFmtId="0" fontId="66" fillId="10" borderId="65" xfId="0" applyFont="1" applyFill="1" applyBorder="1" applyAlignment="1">
      <alignment horizontal="center" wrapText="1"/>
    </xf>
    <xf numFmtId="2" fontId="66" fillId="8" borderId="65" xfId="8" applyNumberFormat="1" applyFont="1" applyFill="1" applyBorder="1" applyAlignment="1">
      <alignment horizontal="center" vertical="center" wrapText="1"/>
    </xf>
    <xf numFmtId="4" fontId="66" fillId="10" borderId="65" xfId="8" applyNumberFormat="1" applyFont="1" applyFill="1" applyBorder="1" applyAlignment="1">
      <alignment horizontal="center" vertical="center" wrapText="1"/>
    </xf>
    <xf numFmtId="2" fontId="69" fillId="8" borderId="65" xfId="8" applyNumberFormat="1" applyFont="1" applyFill="1" applyBorder="1" applyAlignment="1">
      <alignment horizontal="center" vertical="center" wrapText="1"/>
    </xf>
    <xf numFmtId="2" fontId="66" fillId="10" borderId="65" xfId="0" applyNumberFormat="1" applyFont="1" applyFill="1" applyBorder="1" applyAlignment="1">
      <alignment horizontal="center" vertical="center" wrapText="1"/>
    </xf>
    <xf numFmtId="2" fontId="66" fillId="8" borderId="65" xfId="0" applyNumberFormat="1" applyFont="1" applyFill="1" applyBorder="1" applyAlignment="1">
      <alignment horizontal="center" wrapText="1"/>
    </xf>
    <xf numFmtId="0" fontId="69" fillId="13" borderId="75" xfId="0" applyFont="1" applyFill="1" applyBorder="1" applyAlignment="1">
      <alignment horizontal="justify" vertical="top" wrapText="1"/>
    </xf>
    <xf numFmtId="0" fontId="69" fillId="13" borderId="76" xfId="0" applyFont="1" applyFill="1" applyBorder="1" applyAlignment="1">
      <alignment horizontal="justify" vertical="top" wrapText="1"/>
    </xf>
    <xf numFmtId="0" fontId="69" fillId="13" borderId="79" xfId="0" applyFont="1" applyFill="1" applyBorder="1" applyAlignment="1">
      <alignment horizontal="justify" vertical="top" wrapText="1"/>
    </xf>
    <xf numFmtId="0" fontId="66" fillId="7" borderId="105" xfId="0" applyFont="1" applyFill="1" applyBorder="1" applyAlignment="1">
      <alignment horizontal="center" vertical="center" wrapText="1"/>
    </xf>
    <xf numFmtId="3" fontId="66" fillId="10" borderId="65" xfId="0" applyNumberFormat="1" applyFont="1" applyFill="1" applyBorder="1" applyAlignment="1">
      <alignment horizontal="center" vertical="center" wrapText="1"/>
    </xf>
    <xf numFmtId="3" fontId="66" fillId="10" borderId="105" xfId="0" applyNumberFormat="1" applyFont="1" applyFill="1" applyBorder="1" applyAlignment="1">
      <alignment horizontal="center" vertical="center" wrapText="1"/>
    </xf>
    <xf numFmtId="0" fontId="66" fillId="8" borderId="104" xfId="0" applyFont="1" applyFill="1" applyBorder="1" applyAlignment="1">
      <alignment horizontal="center" vertical="center" wrapText="1"/>
    </xf>
    <xf numFmtId="0" fontId="66" fillId="8" borderId="69" xfId="0" applyFont="1" applyFill="1" applyBorder="1" applyAlignment="1">
      <alignment horizontal="center" vertical="center" wrapText="1"/>
    </xf>
    <xf numFmtId="0" fontId="66" fillId="13" borderId="108" xfId="0" applyFont="1" applyFill="1" applyBorder="1" applyAlignment="1">
      <alignment horizontal="justify" vertical="center" wrapText="1"/>
    </xf>
    <xf numFmtId="0" fontId="66" fillId="13" borderId="109" xfId="0" applyFont="1" applyFill="1" applyBorder="1" applyAlignment="1">
      <alignment horizontal="justify" vertical="center" wrapText="1"/>
    </xf>
    <xf numFmtId="0" fontId="66" fillId="13" borderId="110" xfId="0" applyFont="1" applyFill="1" applyBorder="1" applyAlignment="1">
      <alignment horizontal="justify" vertical="center" wrapText="1"/>
    </xf>
    <xf numFmtId="0" fontId="66" fillId="13" borderId="111" xfId="0" applyFont="1" applyFill="1" applyBorder="1" applyAlignment="1">
      <alignment horizontal="justify" vertical="center" wrapText="1"/>
    </xf>
    <xf numFmtId="3" fontId="66" fillId="8" borderId="65" xfId="0" applyNumberFormat="1" applyFont="1" applyFill="1" applyBorder="1" applyAlignment="1">
      <alignment horizontal="center" vertical="center" wrapText="1"/>
    </xf>
    <xf numFmtId="3" fontId="66" fillId="8" borderId="105" xfId="0" applyNumberFormat="1" applyFont="1" applyFill="1" applyBorder="1" applyAlignment="1">
      <alignment horizontal="center" vertical="center" wrapText="1"/>
    </xf>
    <xf numFmtId="0" fontId="66" fillId="10" borderId="104" xfId="0" applyFont="1" applyFill="1" applyBorder="1" applyAlignment="1">
      <alignment horizontal="center" vertical="center" wrapText="1"/>
    </xf>
    <xf numFmtId="0" fontId="66" fillId="10" borderId="69" xfId="0" applyFont="1" applyFill="1" applyBorder="1" applyAlignment="1">
      <alignment horizontal="center" vertical="center" wrapText="1"/>
    </xf>
    <xf numFmtId="3" fontId="66" fillId="10" borderId="65" xfId="3" applyNumberFormat="1" applyFont="1" applyFill="1" applyBorder="1" applyAlignment="1">
      <alignment horizontal="center" vertical="center" wrapText="1"/>
    </xf>
    <xf numFmtId="3" fontId="75" fillId="0" borderId="65" xfId="0" applyNumberFormat="1" applyFont="1" applyBorder="1" applyAlignment="1">
      <alignment horizontal="center" vertical="center" wrapText="1"/>
    </xf>
    <xf numFmtId="0" fontId="66" fillId="13" borderId="104" xfId="0" applyFont="1" applyFill="1" applyBorder="1" applyAlignment="1">
      <alignment horizontal="justify" vertical="center" wrapText="1"/>
    </xf>
    <xf numFmtId="0" fontId="66" fillId="13" borderId="69" xfId="0" applyFont="1" applyFill="1" applyBorder="1" applyAlignment="1">
      <alignment horizontal="justify" vertical="center" wrapText="1"/>
    </xf>
    <xf numFmtId="0" fontId="66" fillId="13" borderId="65" xfId="0" applyFont="1" applyFill="1" applyBorder="1" applyAlignment="1">
      <alignment horizontal="justify" vertical="center" wrapText="1"/>
    </xf>
    <xf numFmtId="0" fontId="66" fillId="13" borderId="105" xfId="0" applyFont="1" applyFill="1" applyBorder="1" applyAlignment="1">
      <alignment horizontal="justify" vertical="center" wrapText="1"/>
    </xf>
    <xf numFmtId="0" fontId="69" fillId="10" borderId="104" xfId="0" applyFont="1" applyFill="1" applyBorder="1" applyAlignment="1">
      <alignment horizontal="center" vertical="center" wrapText="1"/>
    </xf>
    <xf numFmtId="0" fontId="69" fillId="10" borderId="69" xfId="0" applyFont="1" applyFill="1" applyBorder="1" applyAlignment="1">
      <alignment horizontal="center" vertical="center" wrapText="1"/>
    </xf>
    <xf numFmtId="0" fontId="69" fillId="10" borderId="105" xfId="0" applyFont="1" applyFill="1" applyBorder="1" applyAlignment="1">
      <alignment horizontal="center" vertical="center" wrapText="1"/>
    </xf>
    <xf numFmtId="0" fontId="66" fillId="7" borderId="104" xfId="0" applyFont="1" applyFill="1" applyBorder="1" applyAlignment="1">
      <alignment horizontal="center" vertical="center" wrapText="1"/>
    </xf>
    <xf numFmtId="0" fontId="66" fillId="7" borderId="69" xfId="0" applyFont="1" applyFill="1" applyBorder="1" applyAlignment="1">
      <alignment horizontal="center" vertical="center" wrapText="1"/>
    </xf>
    <xf numFmtId="0" fontId="66" fillId="7" borderId="65" xfId="0" applyFont="1" applyFill="1" applyBorder="1" applyAlignment="1">
      <alignment horizontal="left" vertical="center" wrapText="1"/>
    </xf>
    <xf numFmtId="0" fontId="66" fillId="7" borderId="105" xfId="0" applyFont="1" applyFill="1" applyBorder="1" applyAlignment="1">
      <alignment horizontal="left" vertical="center" wrapText="1"/>
    </xf>
    <xf numFmtId="0" fontId="66" fillId="13" borderId="74" xfId="0" applyFont="1" applyFill="1" applyBorder="1" applyAlignment="1">
      <alignment wrapText="1"/>
    </xf>
    <xf numFmtId="0" fontId="66" fillId="13" borderId="73" xfId="0" applyFont="1" applyFill="1" applyBorder="1" applyAlignment="1">
      <alignment wrapText="1"/>
    </xf>
    <xf numFmtId="0" fontId="70" fillId="14" borderId="112" xfId="0" applyFont="1" applyFill="1" applyBorder="1" applyAlignment="1">
      <alignment horizontal="left" vertical="center" wrapText="1"/>
    </xf>
    <xf numFmtId="0" fontId="70" fillId="14" borderId="113" xfId="0" applyFont="1" applyFill="1" applyBorder="1" applyAlignment="1">
      <alignment horizontal="left" vertical="center" wrapText="1"/>
    </xf>
    <xf numFmtId="0" fontId="70" fillId="14" borderId="114" xfId="0" applyFont="1" applyFill="1" applyBorder="1" applyAlignment="1">
      <alignment horizontal="left" vertical="center" wrapText="1"/>
    </xf>
    <xf numFmtId="0" fontId="70" fillId="14" borderId="115" xfId="0" applyFont="1" applyFill="1" applyBorder="1" applyAlignment="1">
      <alignment horizontal="left" vertical="center" wrapText="1"/>
    </xf>
    <xf numFmtId="0" fontId="69" fillId="10" borderId="65" xfId="0" applyFont="1" applyFill="1" applyBorder="1" applyAlignment="1">
      <alignment horizontal="left" vertical="center" wrapText="1"/>
    </xf>
    <xf numFmtId="0" fontId="69" fillId="10" borderId="105" xfId="0" applyFont="1" applyFill="1" applyBorder="1" applyAlignment="1">
      <alignment horizontal="left" vertical="center" wrapText="1"/>
    </xf>
    <xf numFmtId="0" fontId="66" fillId="13" borderId="104" xfId="0" applyFont="1" applyFill="1" applyBorder="1" applyAlignment="1">
      <alignment horizontal="left" vertical="center" wrapText="1"/>
    </xf>
    <xf numFmtId="0" fontId="66" fillId="13" borderId="69" xfId="0" applyFont="1" applyFill="1" applyBorder="1" applyAlignment="1">
      <alignment horizontal="left" vertical="center" wrapText="1"/>
    </xf>
    <xf numFmtId="0" fontId="66" fillId="13" borderId="65" xfId="0" applyFont="1" applyFill="1" applyBorder="1" applyAlignment="1">
      <alignment horizontal="left" vertical="center" wrapText="1"/>
    </xf>
    <xf numFmtId="0" fontId="66" fillId="13" borderId="105" xfId="0" applyFont="1" applyFill="1" applyBorder="1" applyAlignment="1">
      <alignment horizontal="left" vertical="center" wrapText="1"/>
    </xf>
    <xf numFmtId="4" fontId="69" fillId="8" borderId="65" xfId="0" applyNumberFormat="1" applyFont="1" applyFill="1" applyBorder="1" applyAlignment="1">
      <alignment horizontal="center" vertical="center" wrapText="1"/>
    </xf>
    <xf numFmtId="2" fontId="69" fillId="8" borderId="65" xfId="0" applyNumberFormat="1" applyFont="1" applyFill="1" applyBorder="1" applyAlignment="1">
      <alignment horizontal="center" vertical="center" wrapText="1"/>
    </xf>
    <xf numFmtId="0" fontId="69" fillId="13" borderId="104" xfId="0" applyFont="1" applyFill="1" applyBorder="1" applyAlignment="1">
      <alignment horizontal="justify" vertical="center" wrapText="1"/>
    </xf>
    <xf numFmtId="0" fontId="69" fillId="13" borderId="69" xfId="0" applyFont="1" applyFill="1" applyBorder="1" applyAlignment="1">
      <alignment horizontal="justify" vertical="center" wrapText="1"/>
    </xf>
    <xf numFmtId="0" fontId="69" fillId="13" borderId="65" xfId="0" applyFont="1" applyFill="1" applyBorder="1" applyAlignment="1">
      <alignment horizontal="justify" vertical="center" wrapText="1"/>
    </xf>
    <xf numFmtId="0" fontId="69" fillId="13" borderId="105" xfId="0" applyFont="1" applyFill="1" applyBorder="1" applyAlignment="1">
      <alignment horizontal="justify" vertical="center" wrapText="1"/>
    </xf>
    <xf numFmtId="0" fontId="66" fillId="13" borderId="106" xfId="0" applyFont="1" applyFill="1" applyBorder="1" applyAlignment="1">
      <alignment horizontal="left" vertical="top" wrapText="1"/>
    </xf>
    <xf numFmtId="0" fontId="66" fillId="13" borderId="67" xfId="0" applyFont="1" applyFill="1" applyBorder="1" applyAlignment="1">
      <alignment horizontal="left" vertical="top" wrapText="1"/>
    </xf>
    <xf numFmtId="0" fontId="66" fillId="13" borderId="107" xfId="0" applyFont="1" applyFill="1" applyBorder="1" applyAlignment="1">
      <alignment horizontal="left" vertical="top" wrapText="1"/>
    </xf>
    <xf numFmtId="0" fontId="69" fillId="7" borderId="104" xfId="0" applyFont="1" applyFill="1" applyBorder="1" applyAlignment="1">
      <alignment horizontal="center" vertical="center" wrapText="1"/>
    </xf>
    <xf numFmtId="0" fontId="69" fillId="7" borderId="69" xfId="0" applyFont="1" applyFill="1" applyBorder="1" applyAlignment="1">
      <alignment horizontal="center" vertical="center" wrapText="1"/>
    </xf>
    <xf numFmtId="2" fontId="66" fillId="10" borderId="65" xfId="8" applyNumberFormat="1" applyFont="1" applyFill="1" applyBorder="1" applyAlignment="1">
      <alignment horizontal="center" vertical="center" wrapText="1"/>
    </xf>
    <xf numFmtId="0" fontId="69" fillId="8" borderId="104" xfId="0" applyFont="1" applyFill="1" applyBorder="1" applyAlignment="1">
      <alignment horizontal="left" wrapText="1"/>
    </xf>
    <xf numFmtId="0" fontId="69" fillId="8" borderId="69" xfId="0" applyFont="1" applyFill="1" applyBorder="1" applyAlignment="1">
      <alignment horizontal="left" wrapText="1"/>
    </xf>
    <xf numFmtId="0" fontId="69" fillId="10" borderId="104" xfId="0" applyFont="1" applyFill="1" applyBorder="1" applyAlignment="1">
      <alignment horizontal="left" wrapText="1"/>
    </xf>
    <xf numFmtId="0" fontId="69" fillId="10" borderId="69" xfId="0" applyFont="1" applyFill="1" applyBorder="1" applyAlignment="1">
      <alignment horizontal="left" wrapText="1"/>
    </xf>
    <xf numFmtId="2" fontId="66" fillId="10" borderId="65" xfId="0" applyNumberFormat="1" applyFont="1" applyFill="1" applyBorder="1" applyAlignment="1">
      <alignment horizontal="center" wrapText="1"/>
    </xf>
    <xf numFmtId="2" fontId="66" fillId="10" borderId="105" xfId="0" applyNumberFormat="1" applyFont="1" applyFill="1" applyBorder="1" applyAlignment="1">
      <alignment horizontal="center" wrapText="1"/>
    </xf>
    <xf numFmtId="0" fontId="69" fillId="8" borderId="78" xfId="0" applyFont="1" applyFill="1" applyBorder="1" applyAlignment="1">
      <alignment horizontal="left" vertical="center" wrapText="1"/>
    </xf>
    <xf numFmtId="0" fontId="69" fillId="10" borderId="87" xfId="0" applyFont="1" applyFill="1" applyBorder="1" applyAlignment="1">
      <alignment horizontal="left" vertical="center" wrapText="1"/>
    </xf>
    <xf numFmtId="0" fontId="69" fillId="10" borderId="0" xfId="0" applyFont="1" applyFill="1" applyBorder="1" applyAlignment="1">
      <alignment horizontal="left" vertical="center" wrapText="1"/>
    </xf>
    <xf numFmtId="0" fontId="69" fillId="10" borderId="74" xfId="0" applyFont="1" applyFill="1" applyBorder="1" applyAlignment="1">
      <alignment horizontal="left" vertical="center" wrapText="1"/>
    </xf>
    <xf numFmtId="4" fontId="66" fillId="8" borderId="65" xfId="0" applyNumberFormat="1" applyFont="1" applyFill="1" applyBorder="1" applyAlignment="1">
      <alignment horizontal="center" vertical="center" wrapText="1"/>
    </xf>
    <xf numFmtId="4" fontId="66" fillId="8" borderId="105" xfId="0" applyNumberFormat="1" applyFont="1" applyFill="1" applyBorder="1" applyAlignment="1">
      <alignment horizontal="center" vertical="center" wrapText="1"/>
    </xf>
    <xf numFmtId="4" fontId="66" fillId="10" borderId="65" xfId="0" applyNumberFormat="1" applyFont="1" applyFill="1" applyBorder="1" applyAlignment="1">
      <alignment horizontal="center" vertical="center" wrapText="1"/>
    </xf>
    <xf numFmtId="4" fontId="66" fillId="10" borderId="105" xfId="0" applyNumberFormat="1" applyFont="1" applyFill="1" applyBorder="1" applyAlignment="1">
      <alignment horizontal="center" vertical="center" wrapText="1"/>
    </xf>
    <xf numFmtId="9" fontId="66" fillId="8" borderId="66" xfId="0" applyNumberFormat="1" applyFont="1" applyFill="1" applyBorder="1" applyAlignment="1">
      <alignment horizontal="center" vertical="center" wrapText="1"/>
    </xf>
    <xf numFmtId="9" fontId="66" fillId="8" borderId="67" xfId="0" applyNumberFormat="1" applyFont="1" applyFill="1" applyBorder="1" applyAlignment="1">
      <alignment horizontal="center" vertical="center" wrapText="1"/>
    </xf>
    <xf numFmtId="9" fontId="66" fillId="8" borderId="68" xfId="0" applyNumberFormat="1" applyFont="1" applyFill="1" applyBorder="1" applyAlignment="1">
      <alignment horizontal="center" vertical="center" wrapText="1"/>
    </xf>
    <xf numFmtId="9" fontId="66" fillId="10" borderId="66" xfId="0" applyNumberFormat="1" applyFont="1" applyFill="1" applyBorder="1" applyAlignment="1">
      <alignment horizontal="center" vertical="center" wrapText="1"/>
    </xf>
    <xf numFmtId="9" fontId="66" fillId="10" borderId="67" xfId="0" applyNumberFormat="1" applyFont="1" applyFill="1" applyBorder="1" applyAlignment="1">
      <alignment horizontal="center" vertical="center" wrapText="1"/>
    </xf>
    <xf numFmtId="9" fontId="66" fillId="10" borderId="68" xfId="0" applyNumberFormat="1" applyFont="1" applyFill="1" applyBorder="1" applyAlignment="1">
      <alignment horizontal="center" vertical="center" wrapText="1"/>
    </xf>
    <xf numFmtId="9" fontId="66" fillId="8" borderId="70" xfId="0" applyNumberFormat="1" applyFont="1" applyFill="1" applyBorder="1" applyAlignment="1">
      <alignment horizontal="center" vertical="center" wrapText="1"/>
    </xf>
    <xf numFmtId="9" fontId="66" fillId="8" borderId="71" xfId="0" applyNumberFormat="1" applyFont="1" applyFill="1" applyBorder="1" applyAlignment="1">
      <alignment horizontal="center" vertical="center" wrapText="1"/>
    </xf>
    <xf numFmtId="9" fontId="66" fillId="8" borderId="72" xfId="0" applyNumberFormat="1" applyFont="1" applyFill="1" applyBorder="1" applyAlignment="1">
      <alignment horizontal="center" vertical="center" wrapText="1"/>
    </xf>
    <xf numFmtId="0" fontId="66" fillId="7" borderId="66" xfId="0" applyFont="1" applyFill="1" applyBorder="1" applyAlignment="1">
      <alignment horizontal="center" vertical="center" wrapText="1"/>
    </xf>
    <xf numFmtId="0" fontId="66" fillId="7" borderId="67" xfId="0" applyFont="1" applyFill="1" applyBorder="1" applyAlignment="1">
      <alignment horizontal="center" vertical="center" wrapText="1"/>
    </xf>
    <xf numFmtId="0" fontId="66" fillId="7" borderId="107" xfId="0" applyFont="1" applyFill="1" applyBorder="1" applyAlignment="1">
      <alignment horizontal="center" vertical="center" wrapText="1"/>
    </xf>
    <xf numFmtId="2" fontId="66" fillId="10" borderId="66" xfId="0" applyNumberFormat="1" applyFont="1" applyFill="1" applyBorder="1" applyAlignment="1">
      <alignment horizontal="center" vertical="center" wrapText="1"/>
    </xf>
    <xf numFmtId="2" fontId="66" fillId="10" borderId="67" xfId="0" applyNumberFormat="1" applyFont="1" applyFill="1" applyBorder="1" applyAlignment="1">
      <alignment horizontal="center" vertical="center" wrapText="1"/>
    </xf>
    <xf numFmtId="2" fontId="66" fillId="10" borderId="107" xfId="0" applyNumberFormat="1" applyFont="1" applyFill="1" applyBorder="1" applyAlignment="1">
      <alignment horizontal="center" vertical="center" wrapText="1"/>
    </xf>
    <xf numFmtId="2" fontId="66" fillId="8" borderId="66" xfId="0" applyNumberFormat="1" applyFont="1" applyFill="1" applyBorder="1" applyAlignment="1">
      <alignment horizontal="center" wrapText="1"/>
    </xf>
    <xf numFmtId="2" fontId="66" fillId="8" borderId="67" xfId="0" applyNumberFormat="1" applyFont="1" applyFill="1" applyBorder="1" applyAlignment="1">
      <alignment horizontal="center" wrapText="1"/>
    </xf>
    <xf numFmtId="2" fontId="66" fillId="8" borderId="107" xfId="0" applyNumberFormat="1" applyFont="1" applyFill="1" applyBorder="1" applyAlignment="1">
      <alignment horizontal="center" wrapText="1"/>
    </xf>
    <xf numFmtId="2" fontId="69" fillId="8" borderId="66" xfId="0" applyNumberFormat="1" applyFont="1" applyFill="1" applyBorder="1" applyAlignment="1">
      <alignment horizontal="center" vertical="center" wrapText="1"/>
    </xf>
    <xf numFmtId="2" fontId="69" fillId="8" borderId="67" xfId="0" applyNumberFormat="1" applyFont="1" applyFill="1" applyBorder="1" applyAlignment="1">
      <alignment horizontal="center" vertical="center" wrapText="1"/>
    </xf>
    <xf numFmtId="2" fontId="69" fillId="8" borderId="107" xfId="0" applyNumberFormat="1" applyFont="1" applyFill="1" applyBorder="1" applyAlignment="1">
      <alignment horizontal="center" vertical="center" wrapText="1"/>
    </xf>
    <xf numFmtId="9" fontId="66" fillId="10" borderId="70" xfId="0" applyNumberFormat="1" applyFont="1" applyFill="1" applyBorder="1" applyAlignment="1">
      <alignment horizontal="center" vertical="center" wrapText="1"/>
    </xf>
    <xf numFmtId="9" fontId="66" fillId="10" borderId="71" xfId="0" applyNumberFormat="1" applyFont="1" applyFill="1" applyBorder="1" applyAlignment="1">
      <alignment horizontal="center" vertical="center" wrapText="1"/>
    </xf>
    <xf numFmtId="9" fontId="66" fillId="10" borderId="72" xfId="0" applyNumberFormat="1" applyFont="1" applyFill="1" applyBorder="1" applyAlignment="1">
      <alignment horizontal="center" vertical="center" wrapText="1"/>
    </xf>
    <xf numFmtId="10" fontId="66" fillId="10" borderId="65" xfId="0" applyNumberFormat="1" applyFont="1" applyFill="1" applyBorder="1" applyAlignment="1">
      <alignment horizontal="center" vertical="center" wrapText="1"/>
    </xf>
    <xf numFmtId="10" fontId="66" fillId="10" borderId="105" xfId="0" applyNumberFormat="1" applyFont="1" applyFill="1" applyBorder="1" applyAlignment="1">
      <alignment horizontal="center" vertical="center" wrapText="1"/>
    </xf>
    <xf numFmtId="10" fontId="66" fillId="8" borderId="65" xfId="0" applyNumberFormat="1" applyFont="1" applyFill="1" applyBorder="1" applyAlignment="1">
      <alignment horizontal="center" vertical="center" wrapText="1"/>
    </xf>
    <xf numFmtId="10" fontId="66" fillId="8" borderId="105" xfId="0" applyNumberFormat="1" applyFont="1" applyFill="1" applyBorder="1" applyAlignment="1">
      <alignment horizontal="center" vertical="center" wrapText="1"/>
    </xf>
    <xf numFmtId="10" fontId="66" fillId="8" borderId="110" xfId="0" applyNumberFormat="1" applyFont="1" applyFill="1" applyBorder="1" applyAlignment="1">
      <alignment horizontal="center" vertical="center" wrapText="1"/>
    </xf>
    <xf numFmtId="10" fontId="66" fillId="8" borderId="111" xfId="0" applyNumberFormat="1" applyFont="1" applyFill="1" applyBorder="1" applyAlignment="1">
      <alignment horizontal="center" vertical="center" wrapText="1"/>
    </xf>
    <xf numFmtId="0" fontId="69" fillId="8" borderId="66" xfId="0" applyFont="1" applyFill="1" applyBorder="1" applyAlignment="1">
      <alignment horizontal="left" vertical="center" wrapText="1"/>
    </xf>
    <xf numFmtId="0" fontId="69" fillId="10" borderId="66" xfId="0" applyFont="1" applyFill="1" applyBorder="1" applyAlignment="1">
      <alignment horizontal="left" vertical="center" wrapText="1"/>
    </xf>
    <xf numFmtId="0" fontId="69" fillId="8" borderId="116" xfId="0" applyFont="1" applyFill="1" applyBorder="1" applyAlignment="1">
      <alignment horizontal="left" vertical="center" wrapText="1"/>
    </xf>
    <xf numFmtId="0" fontId="69" fillId="8" borderId="117" xfId="0" applyFont="1" applyFill="1" applyBorder="1" applyAlignment="1">
      <alignment horizontal="left" vertical="center" wrapText="1"/>
    </xf>
    <xf numFmtId="0" fontId="66" fillId="7" borderId="66" xfId="0" applyFont="1" applyFill="1" applyBorder="1" applyAlignment="1">
      <alignment horizontal="left" vertical="center" wrapText="1"/>
    </xf>
    <xf numFmtId="0" fontId="66" fillId="7" borderId="67" xfId="0" applyFont="1" applyFill="1" applyBorder="1" applyAlignment="1">
      <alignment horizontal="left" vertical="center" wrapText="1"/>
    </xf>
    <xf numFmtId="0" fontId="69" fillId="10" borderId="86" xfId="0" applyFont="1" applyFill="1" applyBorder="1" applyAlignment="1">
      <alignment horizontal="left" vertical="center" wrapText="1"/>
    </xf>
    <xf numFmtId="0" fontId="69" fillId="10" borderId="76" xfId="0" applyFont="1" applyFill="1" applyBorder="1" applyAlignment="1">
      <alignment horizontal="left" vertical="center" wrapText="1"/>
    </xf>
  </cellXfs>
  <cellStyles count="10">
    <cellStyle name="Calculation" xfId="1" builtinId="22"/>
    <cellStyle name="Check Cell" xfId="2" builtinId="23"/>
    <cellStyle name="Comma" xfId="3" builtinId="3"/>
    <cellStyle name="Currency" xfId="4" builtinId="4"/>
    <cellStyle name="Heading 3" xfId="5" builtinId="18"/>
    <cellStyle name="Input" xfId="6" builtinId="20"/>
    <cellStyle name="Normal" xfId="0" builtinId="0"/>
    <cellStyle name="Output" xfId="7" builtinId="21"/>
    <cellStyle name="Percent" xfId="8" builtinId="5"/>
    <cellStyle name="Style 1" xfId="9"/>
  </cellStyles>
  <dxfs count="10">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right/>
        <top/>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9" defaultPivotStyle="PivotStyleLight16"/>
  <colors>
    <mruColors>
      <color rgb="FFAAAAAB"/>
      <color rgb="FFB61127"/>
      <color rgb="FFD32D4A"/>
      <color rgb="FF9F9476"/>
      <color rgb="FF3CC0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1</xdr:row>
      <xdr:rowOff>174718</xdr:rowOff>
    </xdr:from>
    <xdr:to>
      <xdr:col>16</xdr:col>
      <xdr:colOff>28575</xdr:colOff>
      <xdr:row>1</xdr:row>
      <xdr:rowOff>632926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0300" y="555718"/>
          <a:ext cx="1952625" cy="458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104775</xdr:colOff>
      <xdr:row>1</xdr:row>
      <xdr:rowOff>130458</xdr:rowOff>
    </xdr:from>
    <xdr:to>
      <xdr:col>40</xdr:col>
      <xdr:colOff>45697</xdr:colOff>
      <xdr:row>1</xdr:row>
      <xdr:rowOff>552450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511458"/>
          <a:ext cx="1798297" cy="421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O180"/>
  <sheetViews>
    <sheetView showGridLines="0" showRowColHeaders="0" tabSelected="1" showOutlineSymbols="0" zoomScaleNormal="100" zoomScaleSheetLayoutView="70" workbookViewId="0">
      <selection activeCell="G9" sqref="G9:N9"/>
    </sheetView>
  </sheetViews>
  <sheetFormatPr defaultColWidth="0" defaultRowHeight="12.75" zeroHeight="1" x14ac:dyDescent="0.2"/>
  <cols>
    <col min="1" max="1" width="30.7109375" style="38" customWidth="1"/>
    <col min="2" max="2" width="3.7109375" style="39" customWidth="1"/>
    <col min="3" max="3" width="1.7109375" style="39" customWidth="1"/>
    <col min="4" max="4" width="1.140625" style="39" customWidth="1"/>
    <col min="5" max="5" width="40" style="39" customWidth="1"/>
    <col min="6" max="6" width="1.7109375" style="39" customWidth="1"/>
    <col min="7" max="7" width="34" style="39" customWidth="1"/>
    <col min="8" max="8" width="1.7109375" style="39" customWidth="1"/>
    <col min="9" max="9" width="10.5703125" style="39" customWidth="1"/>
    <col min="10" max="10" width="1.7109375" style="39" customWidth="1"/>
    <col min="11" max="11" width="17.85546875" style="39" customWidth="1"/>
    <col min="12" max="13" width="1.7109375" style="39" customWidth="1"/>
    <col min="14" max="14" width="28" style="39" bestFit="1" customWidth="1"/>
    <col min="15" max="15" width="1.140625" style="39" customWidth="1"/>
    <col min="16" max="16" width="1.7109375" style="39" customWidth="1"/>
    <col min="17" max="17" width="3.7109375" style="39" customWidth="1"/>
    <col min="18" max="18" width="30.7109375" style="38" customWidth="1"/>
    <col min="19" max="20" width="9.140625" hidden="1"/>
    <col min="21" max="21" width="35.42578125" hidden="1"/>
    <col min="22" max="22" width="30.42578125" hidden="1"/>
    <col min="23" max="23" width="2.5703125" hidden="1"/>
    <col min="24" max="24" width="32.7109375" hidden="1"/>
    <col min="25" max="25" width="2.5703125" hidden="1"/>
    <col min="26" max="26" width="37.7109375" hidden="1"/>
    <col min="27" max="27" width="32.7109375" hidden="1"/>
    <col min="28" max="28" width="2.5703125" hidden="1"/>
    <col min="29" max="29" width="59.140625" hidden="1"/>
    <col min="30" max="32" width="9.140625" hidden="1"/>
    <col min="33" max="33" width="35.28515625" hidden="1"/>
    <col min="34" max="35" width="9.140625" hidden="1"/>
    <col min="36" max="36" width="14.85546875" hidden="1"/>
    <col min="37" max="37" width="17.7109375" hidden="1"/>
    <col min="38" max="38" width="11.85546875" hidden="1"/>
    <col min="39" max="16384" width="9.140625" hidden="1"/>
  </cols>
  <sheetData>
    <row r="1" spans="1:18" ht="30" customHeight="1" thickBot="1" x14ac:dyDescent="0.25">
      <c r="A1" s="59"/>
      <c r="B1" s="351"/>
      <c r="C1" s="351"/>
      <c r="D1" s="351"/>
      <c r="E1" s="351"/>
      <c r="F1" s="351"/>
      <c r="G1" s="351"/>
      <c r="H1" s="351"/>
      <c r="I1" s="351"/>
      <c r="J1" s="351"/>
      <c r="K1" s="351"/>
      <c r="L1" s="351"/>
      <c r="M1" s="351"/>
      <c r="N1" s="351"/>
      <c r="O1" s="351"/>
      <c r="P1" s="351"/>
      <c r="Q1" s="351"/>
      <c r="R1" s="59"/>
    </row>
    <row r="2" spans="1:18" ht="63" customHeight="1" x14ac:dyDescent="0.3">
      <c r="A2" s="353"/>
      <c r="B2" s="1"/>
      <c r="C2" s="358" t="s">
        <v>194</v>
      </c>
      <c r="D2" s="358"/>
      <c r="E2" s="358"/>
      <c r="F2" s="358"/>
      <c r="G2" s="358"/>
      <c r="H2" s="358"/>
      <c r="I2" s="358"/>
      <c r="J2" s="358"/>
      <c r="K2" s="358"/>
      <c r="L2" s="358"/>
      <c r="M2" s="358"/>
      <c r="N2" s="358"/>
      <c r="O2" s="358"/>
      <c r="P2" s="358"/>
      <c r="Q2" s="10"/>
      <c r="R2" s="352"/>
    </row>
    <row r="3" spans="1:18" ht="18" x14ac:dyDescent="0.25">
      <c r="A3" s="353"/>
      <c r="B3" s="315"/>
      <c r="C3" s="348" t="s">
        <v>35</v>
      </c>
      <c r="D3" s="328"/>
      <c r="E3" s="342"/>
      <c r="F3" s="329"/>
      <c r="G3" s="330"/>
      <c r="H3" s="330"/>
      <c r="I3" s="330"/>
      <c r="J3" s="330"/>
      <c r="K3" s="330"/>
      <c r="L3" s="362">
        <f ca="1">V149</f>
        <v>42033</v>
      </c>
      <c r="M3" s="362"/>
      <c r="N3" s="362"/>
      <c r="O3" s="362"/>
      <c r="P3" s="362"/>
      <c r="Q3" s="10"/>
      <c r="R3" s="352"/>
    </row>
    <row r="4" spans="1:18" ht="8.25" customHeight="1" x14ac:dyDescent="0.2">
      <c r="A4" s="353"/>
      <c r="B4" s="1"/>
      <c r="C4" s="1"/>
      <c r="D4" s="10"/>
      <c r="E4" s="5"/>
      <c r="F4" s="5"/>
      <c r="G4" s="5"/>
      <c r="H4" s="5"/>
      <c r="I4" s="5"/>
      <c r="J4" s="5"/>
      <c r="K4" s="40"/>
      <c r="L4" s="5"/>
      <c r="M4" s="5"/>
      <c r="N4" s="5"/>
      <c r="O4" s="10"/>
      <c r="P4" s="10"/>
      <c r="Q4" s="10"/>
      <c r="R4" s="352"/>
    </row>
    <row r="5" spans="1:18" ht="12.75" customHeight="1" x14ac:dyDescent="0.2">
      <c r="A5" s="353"/>
      <c r="B5" s="1"/>
      <c r="C5" s="363" t="s">
        <v>82</v>
      </c>
      <c r="D5" s="363"/>
      <c r="E5" s="363"/>
      <c r="F5" s="363"/>
      <c r="G5" s="363"/>
      <c r="H5" s="363"/>
      <c r="I5" s="363"/>
      <c r="J5" s="363"/>
      <c r="K5" s="363"/>
      <c r="L5" s="363"/>
      <c r="M5" s="5"/>
      <c r="N5" s="5"/>
      <c r="O5" s="10"/>
      <c r="P5" s="10"/>
      <c r="Q5" s="10"/>
      <c r="R5" s="352"/>
    </row>
    <row r="6" spans="1:18" ht="2.25" customHeight="1" x14ac:dyDescent="0.2">
      <c r="A6" s="353"/>
      <c r="B6" s="1"/>
      <c r="C6" s="363"/>
      <c r="D6" s="363"/>
      <c r="E6" s="363"/>
      <c r="F6" s="363"/>
      <c r="G6" s="363"/>
      <c r="H6" s="363"/>
      <c r="I6" s="363"/>
      <c r="J6" s="363"/>
      <c r="K6" s="363"/>
      <c r="L6" s="363"/>
      <c r="M6" s="5"/>
      <c r="N6" s="5"/>
      <c r="O6" s="10"/>
      <c r="P6" s="10"/>
      <c r="Q6" s="10"/>
      <c r="R6" s="352"/>
    </row>
    <row r="7" spans="1:18" ht="20.25" customHeight="1" x14ac:dyDescent="0.2">
      <c r="A7" s="353"/>
      <c r="B7" s="1"/>
      <c r="C7" s="226"/>
      <c r="D7" s="227"/>
      <c r="E7" s="349" t="s">
        <v>14</v>
      </c>
      <c r="F7" s="331"/>
      <c r="G7" s="331"/>
      <c r="H7" s="331"/>
      <c r="I7" s="331"/>
      <c r="J7" s="331"/>
      <c r="K7" s="331"/>
      <c r="L7" s="331"/>
      <c r="M7" s="332"/>
      <c r="N7" s="332"/>
      <c r="O7" s="227"/>
      <c r="P7" s="228"/>
      <c r="Q7" s="10"/>
      <c r="R7" s="352"/>
    </row>
    <row r="8" spans="1:18" ht="6" customHeight="1" x14ac:dyDescent="0.2">
      <c r="A8" s="353"/>
      <c r="B8" s="1"/>
      <c r="C8" s="229"/>
      <c r="D8" s="10"/>
      <c r="E8" s="319"/>
      <c r="F8" s="319"/>
      <c r="G8" s="319"/>
      <c r="H8" s="319"/>
      <c r="I8" s="319"/>
      <c r="J8" s="319"/>
      <c r="K8" s="319"/>
      <c r="L8" s="319"/>
      <c r="M8" s="5"/>
      <c r="N8" s="5"/>
      <c r="O8" s="10"/>
      <c r="P8" s="230"/>
      <c r="Q8" s="10"/>
      <c r="R8" s="352"/>
    </row>
    <row r="9" spans="1:18" ht="12.75" customHeight="1" x14ac:dyDescent="0.2">
      <c r="A9" s="353"/>
      <c r="B9" s="1"/>
      <c r="C9" s="229"/>
      <c r="D9" s="10"/>
      <c r="E9" s="15" t="s">
        <v>161</v>
      </c>
      <c r="F9" s="5"/>
      <c r="G9" s="359"/>
      <c r="H9" s="360"/>
      <c r="I9" s="360"/>
      <c r="J9" s="360"/>
      <c r="K9" s="360"/>
      <c r="L9" s="360"/>
      <c r="M9" s="360"/>
      <c r="N9" s="361"/>
      <c r="O9" s="10"/>
      <c r="P9" s="230"/>
      <c r="Q9" s="10"/>
      <c r="R9" s="352"/>
    </row>
    <row r="10" spans="1:18" ht="4.5" customHeight="1" x14ac:dyDescent="0.2">
      <c r="A10" s="353"/>
      <c r="B10" s="1"/>
      <c r="C10" s="229"/>
      <c r="D10" s="10"/>
      <c r="E10" s="16"/>
      <c r="F10" s="5"/>
      <c r="G10" s="5"/>
      <c r="H10" s="5"/>
      <c r="I10" s="5"/>
      <c r="J10" s="5"/>
      <c r="K10" s="5"/>
      <c r="L10" s="5"/>
      <c r="M10" s="5"/>
      <c r="N10" s="5"/>
      <c r="O10" s="10"/>
      <c r="P10" s="230"/>
      <c r="Q10" s="10"/>
      <c r="R10" s="352"/>
    </row>
    <row r="11" spans="1:18" x14ac:dyDescent="0.2">
      <c r="A11" s="353"/>
      <c r="B11" s="1"/>
      <c r="C11" s="229"/>
      <c r="D11" s="10"/>
      <c r="E11" s="15" t="s">
        <v>145</v>
      </c>
      <c r="F11" s="5"/>
      <c r="G11" s="359"/>
      <c r="H11" s="360"/>
      <c r="I11" s="360"/>
      <c r="J11" s="360"/>
      <c r="K11" s="360"/>
      <c r="L11" s="360"/>
      <c r="M11" s="360"/>
      <c r="N11" s="361"/>
      <c r="O11" s="10"/>
      <c r="P11" s="230"/>
      <c r="Q11" s="10"/>
      <c r="R11" s="352"/>
    </row>
    <row r="12" spans="1:18" ht="4.5" customHeight="1" x14ac:dyDescent="0.2">
      <c r="A12" s="353"/>
      <c r="B12" s="1"/>
      <c r="C12" s="229"/>
      <c r="D12" s="10"/>
      <c r="E12" s="16"/>
      <c r="F12" s="5"/>
      <c r="G12" s="5"/>
      <c r="H12" s="5"/>
      <c r="I12" s="5"/>
      <c r="J12" s="5"/>
      <c r="K12" s="5"/>
      <c r="L12" s="5"/>
      <c r="M12" s="5"/>
      <c r="N12" s="5"/>
      <c r="O12" s="10"/>
      <c r="P12" s="230"/>
      <c r="Q12" s="10"/>
      <c r="R12" s="352"/>
    </row>
    <row r="13" spans="1:18" x14ac:dyDescent="0.2">
      <c r="A13" s="353"/>
      <c r="B13" s="1"/>
      <c r="C13" s="229"/>
      <c r="D13" s="10"/>
      <c r="E13" s="15" t="s">
        <v>9</v>
      </c>
      <c r="F13" s="5"/>
      <c r="G13" s="359"/>
      <c r="H13" s="360"/>
      <c r="I13" s="360"/>
      <c r="J13" s="360"/>
      <c r="K13" s="360"/>
      <c r="L13" s="360"/>
      <c r="M13" s="360"/>
      <c r="N13" s="361"/>
      <c r="O13" s="10"/>
      <c r="P13" s="230"/>
      <c r="Q13" s="10"/>
      <c r="R13" s="352"/>
    </row>
    <row r="14" spans="1:18" ht="4.5" customHeight="1" x14ac:dyDescent="0.2">
      <c r="A14" s="353"/>
      <c r="B14" s="1"/>
      <c r="C14" s="229"/>
      <c r="D14" s="10"/>
      <c r="E14" s="15"/>
      <c r="F14" s="5"/>
      <c r="G14" s="3"/>
      <c r="H14" s="3"/>
      <c r="I14" s="3"/>
      <c r="J14" s="11"/>
      <c r="K14" s="11"/>
      <c r="L14" s="3"/>
      <c r="M14" s="3"/>
      <c r="N14" s="3"/>
      <c r="O14" s="10"/>
      <c r="P14" s="230"/>
      <c r="Q14" s="10"/>
      <c r="R14" s="352"/>
    </row>
    <row r="15" spans="1:18" x14ac:dyDescent="0.2">
      <c r="A15" s="353"/>
      <c r="B15" s="1"/>
      <c r="C15" s="229"/>
      <c r="D15" s="10"/>
      <c r="E15" s="15" t="s">
        <v>176</v>
      </c>
      <c r="F15" s="3"/>
      <c r="G15" s="314"/>
      <c r="H15" s="3"/>
      <c r="I15" s="15" t="str">
        <f>IF(ISBLANK($G$15)," ",
IF($G$15=$X$105," ",
IF($G$15=$X$106," ","  Provider")))</f>
        <v xml:space="preserve"> </v>
      </c>
      <c r="J15" s="11"/>
      <c r="K15" s="373"/>
      <c r="L15" s="373"/>
      <c r="M15" s="373"/>
      <c r="N15" s="373"/>
      <c r="O15" s="10"/>
      <c r="P15" s="230"/>
      <c r="Q15" s="10"/>
      <c r="R15" s="352"/>
    </row>
    <row r="16" spans="1:18" ht="4.5" customHeight="1" x14ac:dyDescent="0.2">
      <c r="A16" s="353"/>
      <c r="B16" s="1"/>
      <c r="C16" s="231"/>
      <c r="D16" s="232"/>
      <c r="E16" s="233"/>
      <c r="F16" s="234"/>
      <c r="G16" s="235"/>
      <c r="H16" s="235"/>
      <c r="I16" s="235"/>
      <c r="J16" s="235"/>
      <c r="K16" s="235"/>
      <c r="L16" s="235"/>
      <c r="M16" s="235"/>
      <c r="N16" s="235"/>
      <c r="O16" s="232"/>
      <c r="P16" s="236"/>
      <c r="Q16" s="10"/>
      <c r="R16" s="352"/>
    </row>
    <row r="17" spans="1:18" ht="4.5" customHeight="1" x14ac:dyDescent="0.2">
      <c r="A17" s="353"/>
      <c r="B17" s="1"/>
      <c r="C17" s="34"/>
      <c r="D17" s="42"/>
      <c r="E17" s="43"/>
      <c r="F17" s="43"/>
      <c r="G17" s="43"/>
      <c r="H17" s="43"/>
      <c r="I17" s="43"/>
      <c r="J17" s="43"/>
      <c r="K17" s="43"/>
      <c r="L17" s="43"/>
      <c r="M17" s="43"/>
      <c r="N17" s="43"/>
      <c r="O17" s="42"/>
      <c r="P17" s="42"/>
      <c r="Q17" s="10"/>
      <c r="R17" s="352"/>
    </row>
    <row r="18" spans="1:18" ht="8.25" customHeight="1" x14ac:dyDescent="0.2">
      <c r="A18" s="353"/>
      <c r="B18" s="1"/>
      <c r="C18" s="226"/>
      <c r="D18" s="227"/>
      <c r="E18" s="237"/>
      <c r="F18" s="237"/>
      <c r="G18" s="237"/>
      <c r="H18" s="237"/>
      <c r="I18" s="237"/>
      <c r="J18" s="237"/>
      <c r="K18" s="237"/>
      <c r="L18" s="237"/>
      <c r="M18" s="237"/>
      <c r="N18" s="237"/>
      <c r="O18" s="227"/>
      <c r="P18" s="228"/>
      <c r="Q18" s="10"/>
      <c r="R18" s="352"/>
    </row>
    <row r="19" spans="1:18" ht="12" customHeight="1" x14ac:dyDescent="0.2">
      <c r="A19" s="353"/>
      <c r="B19" s="1"/>
      <c r="C19" s="229"/>
      <c r="D19" s="10"/>
      <c r="E19" s="350" t="str">
        <f>IF(G15="GIA","General Investment Details",IF(G15="ISA Transfer In (Partial Transfer) Details","ISA Investment Details",IF(G15="ISA Transfer In (Full Transfer)","ISA Investment Details",IF(ISBLANK(G15),"General Investment Details",G15&amp;" "&amp;"Investment Details"))))</f>
        <v>General Investment Details</v>
      </c>
      <c r="F19" s="333"/>
      <c r="G19" s="334"/>
      <c r="H19" s="334"/>
      <c r="I19" s="334"/>
      <c r="J19" s="334"/>
      <c r="K19" s="334"/>
      <c r="L19" s="334"/>
      <c r="M19" s="334"/>
      <c r="N19" s="334"/>
      <c r="O19" s="10"/>
      <c r="P19" s="230"/>
      <c r="Q19" s="10"/>
      <c r="R19" s="352"/>
    </row>
    <row r="20" spans="1:18" ht="12" customHeight="1" x14ac:dyDescent="0.2">
      <c r="A20" s="353"/>
      <c r="B20" s="1"/>
      <c r="C20" s="229"/>
      <c r="D20" s="10"/>
      <c r="E20" s="320"/>
      <c r="F20" s="239"/>
      <c r="G20" s="235"/>
      <c r="H20" s="235"/>
      <c r="I20" s="235"/>
      <c r="J20" s="235"/>
      <c r="K20" s="235"/>
      <c r="L20" s="235"/>
      <c r="M20" s="235"/>
      <c r="N20" s="235"/>
      <c r="O20" s="10"/>
      <c r="P20" s="230"/>
      <c r="Q20" s="10"/>
      <c r="R20" s="352"/>
    </row>
    <row r="21" spans="1:18" ht="4.5" customHeight="1" x14ac:dyDescent="0.2">
      <c r="A21" s="353"/>
      <c r="B21" s="1"/>
      <c r="C21" s="229"/>
      <c r="D21" s="240"/>
      <c r="E21" s="241"/>
      <c r="F21" s="242"/>
      <c r="G21" s="243"/>
      <c r="H21" s="243"/>
      <c r="I21" s="243"/>
      <c r="J21" s="243"/>
      <c r="K21" s="243"/>
      <c r="L21" s="243"/>
      <c r="M21" s="243"/>
      <c r="N21" s="243"/>
      <c r="O21" s="228"/>
      <c r="P21" s="230"/>
      <c r="Q21" s="10"/>
      <c r="R21" s="352"/>
    </row>
    <row r="22" spans="1:18" ht="12" customHeight="1" x14ac:dyDescent="0.2">
      <c r="A22" s="353"/>
      <c r="B22" s="1"/>
      <c r="C22" s="229"/>
      <c r="D22" s="244"/>
      <c r="E22" s="15" t="s">
        <v>40</v>
      </c>
      <c r="F22" s="4"/>
      <c r="G22" s="217"/>
      <c r="H22" s="4"/>
      <c r="I22" s="355" t="s">
        <v>189</v>
      </c>
      <c r="J22" s="4"/>
      <c r="K22" s="4"/>
      <c r="L22" s="4"/>
      <c r="M22" s="4"/>
      <c r="N22" s="356"/>
      <c r="O22" s="230"/>
      <c r="P22" s="230"/>
      <c r="Q22" s="10"/>
      <c r="R22" s="352"/>
    </row>
    <row r="23" spans="1:18" ht="4.5" customHeight="1" x14ac:dyDescent="0.2">
      <c r="A23" s="353"/>
      <c r="B23" s="1"/>
      <c r="C23" s="229"/>
      <c r="D23" s="244"/>
      <c r="E23" s="4"/>
      <c r="F23" s="4"/>
      <c r="G23" s="4"/>
      <c r="H23" s="4"/>
      <c r="I23" s="4"/>
      <c r="J23" s="4"/>
      <c r="K23" s="4"/>
      <c r="L23" s="4"/>
      <c r="M23" s="4"/>
      <c r="N23" s="4"/>
      <c r="O23" s="230"/>
      <c r="P23" s="230"/>
      <c r="Q23" s="10"/>
      <c r="R23" s="352"/>
    </row>
    <row r="24" spans="1:18" ht="12" customHeight="1" x14ac:dyDescent="0.2">
      <c r="A24" s="353"/>
      <c r="B24" s="1"/>
      <c r="C24" s="229"/>
      <c r="D24" s="244"/>
      <c r="E24" s="15" t="s">
        <v>168</v>
      </c>
      <c r="F24" s="4"/>
      <c r="G24" s="217"/>
      <c r="H24" s="4"/>
      <c r="I24" s="4"/>
      <c r="J24" s="4"/>
      <c r="K24" s="4"/>
      <c r="L24" s="4"/>
      <c r="M24" s="4"/>
      <c r="N24" s="4"/>
      <c r="O24" s="230"/>
      <c r="P24" s="230"/>
      <c r="Q24" s="10"/>
      <c r="R24" s="352"/>
    </row>
    <row r="25" spans="1:18" ht="4.5" customHeight="1" x14ac:dyDescent="0.2">
      <c r="A25" s="353"/>
      <c r="B25" s="1"/>
      <c r="C25" s="229"/>
      <c r="D25" s="244"/>
      <c r="E25" s="4"/>
      <c r="F25" s="4"/>
      <c r="G25" s="4"/>
      <c r="H25" s="4"/>
      <c r="I25" s="4"/>
      <c r="J25" s="4"/>
      <c r="K25" s="4"/>
      <c r="L25" s="4"/>
      <c r="M25" s="4"/>
      <c r="N25" s="4"/>
      <c r="O25" s="230"/>
      <c r="P25" s="230"/>
      <c r="Q25" s="10"/>
      <c r="R25" s="352"/>
    </row>
    <row r="26" spans="1:18" ht="12" customHeight="1" x14ac:dyDescent="0.2">
      <c r="A26" s="353"/>
      <c r="B26" s="1"/>
      <c r="C26" s="229"/>
      <c r="D26" s="244"/>
      <c r="E26" s="15" t="str">
        <f>IF($G$22=V111,V118,V119)</f>
        <v>Lump Sum Investment Amount</v>
      </c>
      <c r="F26" s="4"/>
      <c r="G26" s="268"/>
      <c r="H26" s="4"/>
      <c r="I26" s="15" t="s">
        <v>79</v>
      </c>
      <c r="J26" s="4"/>
      <c r="K26" s="4"/>
      <c r="L26" s="4"/>
      <c r="M26" s="4"/>
      <c r="N26" s="218"/>
      <c r="O26" s="230"/>
      <c r="P26" s="230"/>
      <c r="Q26" s="10"/>
      <c r="R26" s="352"/>
    </row>
    <row r="27" spans="1:18" ht="4.5" customHeight="1" x14ac:dyDescent="0.2">
      <c r="A27" s="353"/>
      <c r="B27" s="1"/>
      <c r="C27" s="229"/>
      <c r="D27" s="244"/>
      <c r="E27" s="4"/>
      <c r="F27" s="4"/>
      <c r="G27" s="4"/>
      <c r="H27" s="4"/>
      <c r="I27" s="4"/>
      <c r="J27" s="4"/>
      <c r="K27" s="4"/>
      <c r="L27" s="4"/>
      <c r="M27" s="4"/>
      <c r="N27" s="4"/>
      <c r="O27" s="230"/>
      <c r="P27" s="230"/>
      <c r="Q27" s="10"/>
      <c r="R27" s="352"/>
    </row>
    <row r="28" spans="1:18" ht="12.75" customHeight="1" x14ac:dyDescent="0.2">
      <c r="A28" s="353"/>
      <c r="B28" s="1"/>
      <c r="C28" s="229"/>
      <c r="D28" s="244"/>
      <c r="E28" s="15" t="s">
        <v>45</v>
      </c>
      <c r="F28" s="4"/>
      <c r="G28" s="217"/>
      <c r="H28" s="4"/>
      <c r="I28" s="15" t="s">
        <v>51</v>
      </c>
      <c r="J28" s="1"/>
      <c r="K28" s="6"/>
      <c r="L28" s="1"/>
      <c r="M28" s="1"/>
      <c r="N28" s="267"/>
      <c r="O28" s="230"/>
      <c r="P28" s="230"/>
      <c r="Q28" s="10"/>
      <c r="R28" s="352"/>
    </row>
    <row r="29" spans="1:18" ht="4.5" customHeight="1" x14ac:dyDescent="0.2">
      <c r="A29" s="353"/>
      <c r="B29" s="1"/>
      <c r="C29" s="229"/>
      <c r="D29" s="244"/>
      <c r="E29" s="15"/>
      <c r="F29" s="4"/>
      <c r="G29"/>
      <c r="H29"/>
      <c r="I29"/>
      <c r="J29"/>
      <c r="K29"/>
      <c r="L29"/>
      <c r="M29"/>
      <c r="N29"/>
      <c r="O29" s="230"/>
      <c r="P29" s="230"/>
      <c r="Q29" s="10"/>
      <c r="R29" s="352"/>
    </row>
    <row r="30" spans="1:18" ht="12.75" customHeight="1" x14ac:dyDescent="0.2">
      <c r="A30" s="353"/>
      <c r="B30" s="1"/>
      <c r="C30" s="229"/>
      <c r="D30" s="244"/>
      <c r="E30" s="15" t="str">
        <f>IF(G28=V107, "Regular Withdrawal Frequency","")</f>
        <v/>
      </c>
      <c r="F30" s="4"/>
      <c r="G30" s="326"/>
      <c r="H30"/>
      <c r="I30"/>
      <c r="J30"/>
      <c r="K30"/>
      <c r="L30"/>
      <c r="M30"/>
      <c r="N30"/>
      <c r="O30" s="230"/>
      <c r="P30" s="230"/>
      <c r="Q30" s="10"/>
      <c r="R30" s="352"/>
    </row>
    <row r="31" spans="1:18" ht="4.5" customHeight="1" x14ac:dyDescent="0.2">
      <c r="A31" s="353"/>
      <c r="B31" s="1"/>
      <c r="C31" s="229"/>
      <c r="D31" s="245"/>
      <c r="E31" s="246"/>
      <c r="F31" s="235"/>
      <c r="G31" s="235"/>
      <c r="H31" s="235"/>
      <c r="I31" s="235"/>
      <c r="J31" s="235"/>
      <c r="K31" s="235"/>
      <c r="L31" s="235"/>
      <c r="M31" s="235"/>
      <c r="N31" s="235"/>
      <c r="O31" s="236"/>
      <c r="P31" s="230"/>
      <c r="Q31" s="10"/>
      <c r="R31" s="352"/>
    </row>
    <row r="32" spans="1:18" ht="4.5" customHeight="1" x14ac:dyDescent="0.2">
      <c r="A32" s="353"/>
      <c r="B32" s="1"/>
      <c r="C32" s="229"/>
      <c r="D32" s="10"/>
      <c r="E32" s="40"/>
      <c r="F32" s="40"/>
      <c r="G32" s="40"/>
      <c r="H32" s="40"/>
      <c r="I32" s="40"/>
      <c r="J32" s="40"/>
      <c r="K32" s="40"/>
      <c r="L32" s="40"/>
      <c r="M32" s="40"/>
      <c r="N32" s="40"/>
      <c r="O32" s="10"/>
      <c r="P32" s="230"/>
      <c r="Q32" s="10"/>
      <c r="R32" s="352"/>
    </row>
    <row r="33" spans="1:19" ht="4.5" customHeight="1" x14ac:dyDescent="0.2">
      <c r="A33" s="353"/>
      <c r="B33" s="1"/>
      <c r="C33" s="229"/>
      <c r="D33" s="240"/>
      <c r="E33" s="247"/>
      <c r="F33" s="247"/>
      <c r="G33" s="247"/>
      <c r="H33" s="247"/>
      <c r="I33" s="247"/>
      <c r="J33" s="247"/>
      <c r="K33" s="247"/>
      <c r="L33" s="247"/>
      <c r="M33" s="247"/>
      <c r="N33" s="247"/>
      <c r="O33" s="228"/>
      <c r="P33" s="230"/>
      <c r="Q33" s="10"/>
      <c r="R33" s="352"/>
    </row>
    <row r="34" spans="1:19" ht="10.5" customHeight="1" x14ac:dyDescent="0.2">
      <c r="A34" s="353"/>
      <c r="B34" s="1"/>
      <c r="C34" s="229"/>
      <c r="D34" s="244"/>
      <c r="E34" s="364" t="s">
        <v>150</v>
      </c>
      <c r="F34" s="364"/>
      <c r="G34" s="364"/>
      <c r="H34" s="364"/>
      <c r="I34" s="364"/>
      <c r="J34" s="364"/>
      <c r="K34" s="364"/>
      <c r="L34" s="364"/>
      <c r="M34" s="364"/>
      <c r="N34" s="364"/>
      <c r="O34" s="230"/>
      <c r="P34" s="230"/>
      <c r="Q34" s="10"/>
      <c r="R34" s="352"/>
    </row>
    <row r="35" spans="1:19" ht="26.25" customHeight="1" x14ac:dyDescent="0.2">
      <c r="A35" s="353"/>
      <c r="B35" s="1"/>
      <c r="C35" s="229"/>
      <c r="D35" s="248"/>
      <c r="E35" s="205" t="s">
        <v>184</v>
      </c>
      <c r="F35" s="205"/>
      <c r="G35" s="205" t="s">
        <v>129</v>
      </c>
      <c r="M35" s="312"/>
      <c r="N35" s="310" t="s">
        <v>130</v>
      </c>
      <c r="O35" s="249"/>
      <c r="P35" s="230"/>
      <c r="Q35" s="10"/>
      <c r="R35" s="352"/>
    </row>
    <row r="36" spans="1:19" ht="12.75" customHeight="1" x14ac:dyDescent="0.2">
      <c r="A36" s="353"/>
      <c r="B36" s="1"/>
      <c r="C36" s="229"/>
      <c r="D36" s="248"/>
      <c r="E36" s="21"/>
      <c r="F36" s="21"/>
      <c r="G36" s="21"/>
      <c r="K36" s="40"/>
      <c r="L36" s="311"/>
      <c r="N36" s="29" t="s">
        <v>19</v>
      </c>
      <c r="O36" s="250"/>
      <c r="P36" s="230"/>
      <c r="Q36" s="10"/>
      <c r="R36" s="352"/>
    </row>
    <row r="37" spans="1:19" ht="4.5" customHeight="1" x14ac:dyDescent="0.2">
      <c r="A37" s="353"/>
      <c r="B37" s="1"/>
      <c r="C37" s="229"/>
      <c r="D37" s="248"/>
      <c r="E37" s="61"/>
      <c r="F37" s="61"/>
      <c r="G37" s="214"/>
      <c r="H37" s="21"/>
      <c r="I37" s="22"/>
      <c r="J37" s="22"/>
      <c r="K37" s="30"/>
      <c r="L37" s="4"/>
      <c r="M37" s="4"/>
      <c r="N37" s="4"/>
      <c r="O37" s="250"/>
      <c r="P37" s="230"/>
      <c r="Q37" s="10"/>
      <c r="R37" s="352"/>
    </row>
    <row r="38" spans="1:19" x14ac:dyDescent="0.2">
      <c r="A38" s="353"/>
      <c r="B38" s="1"/>
      <c r="C38" s="229"/>
      <c r="D38" s="248"/>
      <c r="E38" s="335" t="s">
        <v>195</v>
      </c>
      <c r="F38" s="213"/>
      <c r="G38" s="370" t="s">
        <v>144</v>
      </c>
      <c r="H38" s="371"/>
      <c r="I38" s="371"/>
      <c r="J38" s="371"/>
      <c r="K38" s="371"/>
      <c r="L38" s="372"/>
      <c r="M38" s="281"/>
      <c r="N38" s="219"/>
      <c r="O38" s="250"/>
      <c r="P38" s="230"/>
      <c r="Q38" s="10"/>
      <c r="R38" s="352"/>
    </row>
    <row r="39" spans="1:19" ht="4.5" customHeight="1" x14ac:dyDescent="0.2">
      <c r="A39" s="353"/>
      <c r="B39" s="1"/>
      <c r="C39" s="229"/>
      <c r="D39" s="248"/>
      <c r="E39" s="62"/>
      <c r="F39" s="64"/>
      <c r="G39" s="215"/>
      <c r="H39" s="21"/>
      <c r="J39" s="24"/>
      <c r="K39" s="269"/>
      <c r="L39" s="270"/>
      <c r="M39" s="271"/>
      <c r="N39" s="24"/>
      <c r="O39" s="250"/>
      <c r="P39" s="230"/>
      <c r="Q39" s="10"/>
      <c r="R39" s="352"/>
    </row>
    <row r="40" spans="1:19" x14ac:dyDescent="0.2">
      <c r="A40" s="353"/>
      <c r="B40" s="1"/>
      <c r="C40" s="229"/>
      <c r="D40" s="248"/>
      <c r="E40" s="335" t="s">
        <v>195</v>
      </c>
      <c r="F40" s="213"/>
      <c r="G40" s="370" t="s">
        <v>144</v>
      </c>
      <c r="H40" s="371"/>
      <c r="I40" s="371"/>
      <c r="J40" s="371"/>
      <c r="K40" s="371"/>
      <c r="L40" s="372"/>
      <c r="M40" s="281"/>
      <c r="N40" s="219"/>
      <c r="O40" s="250"/>
      <c r="P40" s="230"/>
      <c r="Q40" s="10"/>
      <c r="R40" s="352"/>
      <c r="S40" s="14"/>
    </row>
    <row r="41" spans="1:19" ht="4.5" customHeight="1" x14ac:dyDescent="0.2">
      <c r="A41" s="353"/>
      <c r="B41" s="1"/>
      <c r="C41" s="229"/>
      <c r="D41" s="248"/>
      <c r="E41" s="62"/>
      <c r="F41" s="64"/>
      <c r="G41" s="215"/>
      <c r="H41" s="23"/>
      <c r="J41" s="24"/>
      <c r="K41" s="269"/>
      <c r="L41" s="270"/>
      <c r="M41" s="271"/>
      <c r="N41" s="24"/>
      <c r="O41" s="250"/>
      <c r="P41" s="230"/>
      <c r="Q41" s="10"/>
      <c r="R41" s="352"/>
    </row>
    <row r="42" spans="1:19" x14ac:dyDescent="0.2">
      <c r="A42" s="353"/>
      <c r="B42" s="1"/>
      <c r="C42" s="229"/>
      <c r="D42" s="248"/>
      <c r="E42" s="335" t="s">
        <v>195</v>
      </c>
      <c r="F42" s="207"/>
      <c r="G42" s="370" t="s">
        <v>144</v>
      </c>
      <c r="H42" s="371"/>
      <c r="I42" s="371"/>
      <c r="J42" s="371"/>
      <c r="K42" s="371"/>
      <c r="L42" s="372"/>
      <c r="M42" s="281"/>
      <c r="N42" s="219"/>
      <c r="O42" s="250"/>
      <c r="P42" s="230"/>
      <c r="Q42" s="10"/>
      <c r="R42" s="352"/>
    </row>
    <row r="43" spans="1:19" ht="4.5" customHeight="1" x14ac:dyDescent="0.2">
      <c r="A43" s="353"/>
      <c r="B43" s="1"/>
      <c r="C43" s="229"/>
      <c r="D43" s="248"/>
      <c r="E43" s="63"/>
      <c r="F43" s="65"/>
      <c r="G43" s="216"/>
      <c r="H43" s="23"/>
      <c r="J43" s="24"/>
      <c r="K43" s="269"/>
      <c r="L43" s="270"/>
      <c r="M43" s="271"/>
      <c r="N43" s="24"/>
      <c r="O43" s="250"/>
      <c r="P43" s="230"/>
      <c r="Q43" s="10"/>
      <c r="R43" s="352"/>
    </row>
    <row r="44" spans="1:19" x14ac:dyDescent="0.2">
      <c r="A44" s="353"/>
      <c r="B44" s="1"/>
      <c r="C44" s="229"/>
      <c r="D44" s="248"/>
      <c r="E44" s="335" t="s">
        <v>195</v>
      </c>
      <c r="F44" s="206"/>
      <c r="G44" s="370" t="s">
        <v>144</v>
      </c>
      <c r="H44" s="371"/>
      <c r="I44" s="371"/>
      <c r="J44" s="371"/>
      <c r="K44" s="371"/>
      <c r="L44" s="372"/>
      <c r="M44" s="281"/>
      <c r="N44" s="219"/>
      <c r="O44" s="250"/>
      <c r="P44" s="230"/>
      <c r="Q44" s="10"/>
      <c r="R44" s="352"/>
      <c r="S44" s="14"/>
    </row>
    <row r="45" spans="1:19" ht="4.5" customHeight="1" x14ac:dyDescent="0.2">
      <c r="A45" s="353"/>
      <c r="B45" s="1"/>
      <c r="C45" s="229"/>
      <c r="D45" s="248"/>
      <c r="E45" s="62"/>
      <c r="F45" s="64"/>
      <c r="G45" s="215"/>
      <c r="H45" s="23"/>
      <c r="I45" s="24"/>
      <c r="J45" s="24"/>
      <c r="K45" s="269"/>
      <c r="L45" s="270"/>
      <c r="M45" s="271"/>
      <c r="N45" s="272"/>
      <c r="O45" s="250"/>
      <c r="P45" s="230"/>
      <c r="Q45" s="10"/>
      <c r="R45" s="352"/>
    </row>
    <row r="46" spans="1:19" hidden="1" x14ac:dyDescent="0.2">
      <c r="A46" s="353"/>
      <c r="B46" s="1"/>
      <c r="C46" s="229"/>
      <c r="D46" s="248"/>
      <c r="E46" s="284" t="s">
        <v>39</v>
      </c>
      <c r="F46" s="207"/>
      <c r="G46" s="284" t="s">
        <v>144</v>
      </c>
      <c r="H46" s="285"/>
      <c r="I46" s="286"/>
      <c r="J46" s="287"/>
      <c r="K46" s="365" t="str">
        <f>IF(ISBLANK($G$26),"-        ",I46*$G$26)</f>
        <v xml:space="preserve">-        </v>
      </c>
      <c r="L46" s="365"/>
      <c r="M46" s="366"/>
      <c r="N46" s="288" t="str">
        <f>IF(ISBLANK($N$28),"-        ",I46*$N$28)</f>
        <v xml:space="preserve">-        </v>
      </c>
      <c r="O46" s="250"/>
      <c r="P46" s="230"/>
      <c r="Q46" s="10"/>
      <c r="R46" s="352"/>
    </row>
    <row r="47" spans="1:19" ht="4.5" hidden="1" customHeight="1" x14ac:dyDescent="0.2">
      <c r="A47" s="353"/>
      <c r="B47" s="1"/>
      <c r="C47" s="229"/>
      <c r="D47" s="248"/>
      <c r="E47" s="289"/>
      <c r="F47" s="290"/>
      <c r="G47" s="291"/>
      <c r="H47" s="292"/>
      <c r="I47" s="293"/>
      <c r="J47" s="293"/>
      <c r="K47" s="294"/>
      <c r="L47" s="295"/>
      <c r="M47" s="296"/>
      <c r="N47" s="297"/>
      <c r="O47" s="250"/>
      <c r="P47" s="230"/>
      <c r="Q47" s="10"/>
      <c r="R47" s="352"/>
    </row>
    <row r="48" spans="1:19" hidden="1" x14ac:dyDescent="0.2">
      <c r="A48" s="353"/>
      <c r="B48" s="1"/>
      <c r="C48" s="229"/>
      <c r="D48" s="248"/>
      <c r="E48" s="284" t="s">
        <v>39</v>
      </c>
      <c r="F48" s="207"/>
      <c r="G48" s="284" t="s">
        <v>144</v>
      </c>
      <c r="H48" s="292"/>
      <c r="I48" s="286"/>
      <c r="J48" s="287"/>
      <c r="K48" s="365" t="str">
        <f>IF(ISBLANK($G$26),"-        ",I48*$G$26)</f>
        <v xml:space="preserve">-        </v>
      </c>
      <c r="L48" s="365"/>
      <c r="M48" s="366"/>
      <c r="N48" s="288" t="str">
        <f>IF(ISBLANK($N$28),"-        ",I48*$N$28)</f>
        <v xml:space="preserve">-        </v>
      </c>
      <c r="O48" s="250"/>
      <c r="P48" s="230"/>
      <c r="Q48" s="10"/>
      <c r="R48" s="352"/>
    </row>
    <row r="49" spans="1:19" ht="4.5" hidden="1" customHeight="1" x14ac:dyDescent="0.2">
      <c r="A49" s="353"/>
      <c r="B49" s="1"/>
      <c r="C49" s="229"/>
      <c r="D49" s="248"/>
      <c r="E49" s="63"/>
      <c r="F49" s="65"/>
      <c r="G49" s="216"/>
      <c r="H49" s="292"/>
      <c r="I49" s="298"/>
      <c r="J49" s="298"/>
      <c r="K49" s="294"/>
      <c r="L49" s="299"/>
      <c r="M49" s="300"/>
      <c r="N49" s="301"/>
      <c r="O49" s="250"/>
      <c r="P49" s="230"/>
      <c r="Q49" s="10"/>
      <c r="R49" s="352"/>
    </row>
    <row r="50" spans="1:19" hidden="1" x14ac:dyDescent="0.2">
      <c r="A50" s="353"/>
      <c r="B50" s="1"/>
      <c r="C50" s="229"/>
      <c r="D50" s="248"/>
      <c r="E50" s="284" t="s">
        <v>39</v>
      </c>
      <c r="F50" s="207"/>
      <c r="G50" s="284" t="s">
        <v>144</v>
      </c>
      <c r="H50" s="285"/>
      <c r="I50" s="286"/>
      <c r="J50" s="287"/>
      <c r="K50" s="365" t="str">
        <f>IF(ISBLANK($G$26),"-        ",I50*$G$26)</f>
        <v xml:space="preserve">-        </v>
      </c>
      <c r="L50" s="365"/>
      <c r="M50" s="366"/>
      <c r="N50" s="288" t="str">
        <f>IF(ISBLANK($N$28),"-        ",I50*$N$28)</f>
        <v xml:space="preserve">-        </v>
      </c>
      <c r="O50" s="250"/>
      <c r="P50" s="230"/>
      <c r="Q50" s="10"/>
      <c r="R50" s="352"/>
      <c r="S50" s="14"/>
    </row>
    <row r="51" spans="1:19" ht="4.5" hidden="1" customHeight="1" x14ac:dyDescent="0.2">
      <c r="A51" s="353"/>
      <c r="B51" s="1"/>
      <c r="C51" s="229"/>
      <c r="D51" s="248"/>
      <c r="E51" s="63"/>
      <c r="F51" s="65"/>
      <c r="G51" s="216"/>
      <c r="H51" s="298"/>
      <c r="I51" s="298"/>
      <c r="J51" s="298"/>
      <c r="K51" s="294"/>
      <c r="L51" s="299"/>
      <c r="M51" s="300"/>
      <c r="N51" s="301"/>
      <c r="O51" s="250"/>
      <c r="P51" s="230"/>
      <c r="Q51" s="10"/>
      <c r="R51" s="352"/>
    </row>
    <row r="52" spans="1:19" hidden="1" x14ac:dyDescent="0.2">
      <c r="A52" s="353"/>
      <c r="B52" s="1"/>
      <c r="C52" s="229"/>
      <c r="D52" s="248"/>
      <c r="E52" s="284" t="s">
        <v>39</v>
      </c>
      <c r="F52" s="207"/>
      <c r="G52" s="284" t="s">
        <v>144</v>
      </c>
      <c r="H52" s="285"/>
      <c r="I52" s="286"/>
      <c r="J52" s="287"/>
      <c r="K52" s="365" t="str">
        <f>IF(ISBLANK($G$26),"-        ",I52*$G$26)</f>
        <v xml:space="preserve">-        </v>
      </c>
      <c r="L52" s="365"/>
      <c r="M52" s="366"/>
      <c r="N52" s="288" t="str">
        <f>IF(ISBLANK($N$28),"-        ",I52*$N$28)</f>
        <v xml:space="preserve">-        </v>
      </c>
      <c r="O52" s="250"/>
      <c r="P52" s="230"/>
      <c r="Q52" s="10"/>
      <c r="R52" s="352"/>
    </row>
    <row r="53" spans="1:19" ht="4.5" hidden="1" customHeight="1" x14ac:dyDescent="0.2">
      <c r="A53" s="353"/>
      <c r="B53" s="1"/>
      <c r="C53" s="229"/>
      <c r="D53" s="248"/>
      <c r="E53" s="63"/>
      <c r="F53" s="65"/>
      <c r="G53" s="216"/>
      <c r="H53" s="298"/>
      <c r="I53" s="298"/>
      <c r="J53" s="298"/>
      <c r="K53" s="294"/>
      <c r="L53" s="299"/>
      <c r="M53" s="300"/>
      <c r="N53" s="301"/>
      <c r="O53" s="250"/>
      <c r="P53" s="230"/>
      <c r="Q53" s="10"/>
      <c r="R53" s="352"/>
    </row>
    <row r="54" spans="1:19" hidden="1" x14ac:dyDescent="0.2">
      <c r="A54" s="353"/>
      <c r="B54" s="1"/>
      <c r="C54" s="229"/>
      <c r="D54" s="248"/>
      <c r="E54" s="284" t="s">
        <v>39</v>
      </c>
      <c r="F54" s="206"/>
      <c r="G54" s="284" t="s">
        <v>144</v>
      </c>
      <c r="H54" s="285"/>
      <c r="I54" s="286"/>
      <c r="J54" s="287"/>
      <c r="K54" s="365" t="str">
        <f>IF(ISBLANK($G$26),"-        ",I54*$G$26)</f>
        <v xml:space="preserve">-        </v>
      </c>
      <c r="L54" s="365"/>
      <c r="M54" s="366"/>
      <c r="N54" s="288" t="str">
        <f>IF(ISBLANK($N$28),"-        ",I54*$N$28)</f>
        <v xml:space="preserve">-        </v>
      </c>
      <c r="O54" s="250"/>
      <c r="P54" s="230"/>
      <c r="Q54" s="10"/>
      <c r="R54" s="352"/>
      <c r="S54" s="14"/>
    </row>
    <row r="55" spans="1:19" ht="4.5" hidden="1" customHeight="1" x14ac:dyDescent="0.2">
      <c r="A55" s="353"/>
      <c r="B55" s="1"/>
      <c r="C55" s="229"/>
      <c r="D55" s="248"/>
      <c r="E55" s="63"/>
      <c r="F55" s="65"/>
      <c r="G55" s="216"/>
      <c r="H55" s="298"/>
      <c r="I55" s="298"/>
      <c r="J55" s="298"/>
      <c r="K55" s="294"/>
      <c r="L55" s="299"/>
      <c r="M55" s="300"/>
      <c r="N55" s="301"/>
      <c r="O55" s="250"/>
      <c r="P55" s="230"/>
      <c r="Q55" s="10"/>
      <c r="R55" s="352"/>
    </row>
    <row r="56" spans="1:19" hidden="1" x14ac:dyDescent="0.2">
      <c r="A56" s="353"/>
      <c r="B56" s="1"/>
      <c r="C56" s="229"/>
      <c r="D56" s="248"/>
      <c r="E56" s="284" t="s">
        <v>39</v>
      </c>
      <c r="F56" s="207"/>
      <c r="G56" s="284" t="s">
        <v>144</v>
      </c>
      <c r="H56" s="285"/>
      <c r="I56" s="286"/>
      <c r="J56" s="287"/>
      <c r="K56" s="365" t="str">
        <f>IF(ISBLANK($G$26),"-        ",I56*$G$26)</f>
        <v xml:space="preserve">-        </v>
      </c>
      <c r="L56" s="365"/>
      <c r="M56" s="366"/>
      <c r="N56" s="288" t="str">
        <f>IF(ISBLANK($N$28),"-        ",I56*$N$28)</f>
        <v xml:space="preserve">-        </v>
      </c>
      <c r="O56" s="250"/>
      <c r="P56" s="230"/>
      <c r="Q56" s="10"/>
      <c r="R56" s="352"/>
    </row>
    <row r="57" spans="1:19" ht="4.5" hidden="1" customHeight="1" x14ac:dyDescent="0.2">
      <c r="A57" s="353"/>
      <c r="B57" s="1"/>
      <c r="C57" s="229"/>
      <c r="D57" s="248"/>
      <c r="E57" s="63"/>
      <c r="F57" s="65"/>
      <c r="G57" s="216"/>
      <c r="H57" s="298"/>
      <c r="I57" s="298"/>
      <c r="J57" s="298"/>
      <c r="K57" s="302"/>
      <c r="L57" s="298"/>
      <c r="M57" s="303"/>
      <c r="N57" s="304"/>
      <c r="O57" s="250"/>
      <c r="P57" s="230"/>
      <c r="Q57" s="10"/>
      <c r="R57" s="352"/>
    </row>
    <row r="58" spans="1:19" ht="10.5" hidden="1" customHeight="1" x14ac:dyDescent="0.2">
      <c r="A58" s="353"/>
      <c r="B58" s="1"/>
      <c r="C58" s="229"/>
      <c r="D58" s="248"/>
      <c r="E58" s="368" t="s">
        <v>143</v>
      </c>
      <c r="F58" s="368"/>
      <c r="G58" s="368"/>
      <c r="H58" s="368"/>
      <c r="I58" s="368"/>
      <c r="J58" s="368"/>
      <c r="K58" s="368"/>
      <c r="L58" s="368"/>
      <c r="M58" s="368"/>
      <c r="N58" s="368"/>
      <c r="O58" s="250"/>
      <c r="P58" s="230"/>
      <c r="Q58" s="10"/>
      <c r="R58" s="352"/>
    </row>
    <row r="59" spans="1:19" ht="4.5" hidden="1" customHeight="1" x14ac:dyDescent="0.2">
      <c r="A59" s="353"/>
      <c r="B59" s="1"/>
      <c r="C59" s="229"/>
      <c r="D59" s="248"/>
      <c r="E59" s="63"/>
      <c r="F59" s="207"/>
      <c r="G59" s="208"/>
      <c r="H59" s="298"/>
      <c r="I59" s="298"/>
      <c r="J59" s="298"/>
      <c r="K59" s="302"/>
      <c r="L59" s="298"/>
      <c r="M59" s="303"/>
      <c r="N59" s="304"/>
      <c r="O59" s="250"/>
      <c r="P59" s="230"/>
      <c r="Q59" s="10"/>
      <c r="R59" s="352"/>
    </row>
    <row r="60" spans="1:19" hidden="1" x14ac:dyDescent="0.2">
      <c r="A60" s="353"/>
      <c r="B60" s="1"/>
      <c r="C60" s="229"/>
      <c r="D60" s="248"/>
      <c r="E60" s="305" t="s">
        <v>39</v>
      </c>
      <c r="F60" s="206"/>
      <c r="G60" s="306"/>
      <c r="H60" s="285"/>
      <c r="I60" s="286"/>
      <c r="J60" s="287"/>
      <c r="K60" s="365" t="str">
        <f>IF(ISBLANK($G$26),"-        ",I60*$G$26)</f>
        <v xml:space="preserve">-        </v>
      </c>
      <c r="L60" s="365"/>
      <c r="M60" s="366"/>
      <c r="N60" s="288" t="str">
        <f>IF(ISBLANK($N$28),"-        ",I60*$N$28)</f>
        <v xml:space="preserve">-        </v>
      </c>
      <c r="O60" s="250"/>
      <c r="P60" s="230"/>
      <c r="Q60" s="10"/>
      <c r="R60" s="352"/>
      <c r="S60" s="14"/>
    </row>
    <row r="61" spans="1:19" ht="4.5" hidden="1" customHeight="1" x14ac:dyDescent="0.2">
      <c r="A61" s="353"/>
      <c r="B61" s="1"/>
      <c r="C61" s="229"/>
      <c r="D61" s="248"/>
      <c r="E61" s="30"/>
      <c r="F61" s="30"/>
      <c r="G61" s="30"/>
      <c r="H61" s="30"/>
      <c r="I61" s="30"/>
      <c r="J61" s="30"/>
      <c r="K61" s="30"/>
      <c r="L61" s="30"/>
      <c r="M61" s="30"/>
      <c r="N61" s="30"/>
      <c r="O61" s="250"/>
      <c r="P61" s="230"/>
      <c r="Q61" s="10"/>
      <c r="R61" s="352"/>
    </row>
    <row r="62" spans="1:19" ht="4.5" customHeight="1" x14ac:dyDescent="0.2">
      <c r="A62" s="353"/>
      <c r="B62" s="1"/>
      <c r="C62" s="229"/>
      <c r="D62" s="248"/>
      <c r="E62" s="48"/>
      <c r="F62" s="49"/>
      <c r="G62" s="50"/>
      <c r="H62" s="50"/>
      <c r="I62" s="50"/>
      <c r="J62" s="50"/>
      <c r="K62" s="50"/>
      <c r="L62" s="50"/>
      <c r="M62" s="50"/>
      <c r="N62" s="50"/>
      <c r="O62" s="250"/>
      <c r="P62" s="230"/>
      <c r="Q62" s="10"/>
      <c r="R62" s="352"/>
    </row>
    <row r="63" spans="1:19" x14ac:dyDescent="0.2">
      <c r="A63" s="353"/>
      <c r="B63" s="1"/>
      <c r="C63" s="229"/>
      <c r="D63" s="248"/>
      <c r="E63" s="27" t="s">
        <v>2</v>
      </c>
      <c r="F63" s="26"/>
      <c r="G63" s="28"/>
      <c r="H63" s="28"/>
      <c r="J63" s="25"/>
      <c r="L63" s="282"/>
      <c r="M63" s="283"/>
      <c r="N63" s="67" t="str">
        <f>IF(ISBLANK(G26),"-",SUM(N38,N40,N42,N44,I46,I48,I50,I52,I54,I56,I60))</f>
        <v>-</v>
      </c>
      <c r="O63" s="250"/>
      <c r="P63" s="230"/>
      <c r="Q63" s="10"/>
      <c r="R63" s="352"/>
    </row>
    <row r="64" spans="1:19" ht="4.5" customHeight="1" x14ac:dyDescent="0.2">
      <c r="A64" s="353"/>
      <c r="B64" s="1"/>
      <c r="C64" s="229"/>
      <c r="D64" s="248"/>
      <c r="E64" s="47"/>
      <c r="F64" s="47"/>
      <c r="G64" s="47"/>
      <c r="H64" s="47"/>
      <c r="I64" s="47"/>
      <c r="J64" s="47"/>
      <c r="K64" s="47"/>
      <c r="L64" s="46"/>
      <c r="M64" s="47"/>
      <c r="N64" s="47"/>
      <c r="O64" s="250"/>
      <c r="P64" s="230"/>
      <c r="Q64" s="10"/>
      <c r="R64" s="352"/>
    </row>
    <row r="65" spans="1:18" ht="4.5" customHeight="1" x14ac:dyDescent="0.2">
      <c r="A65" s="353"/>
      <c r="B65" s="1"/>
      <c r="C65" s="229"/>
      <c r="D65" s="248"/>
      <c r="E65" s="24"/>
      <c r="F65" s="24"/>
      <c r="G65" s="24"/>
      <c r="H65" s="24"/>
      <c r="I65" s="24"/>
      <c r="J65" s="24"/>
      <c r="K65" s="24"/>
      <c r="L65" s="4"/>
      <c r="M65" s="24"/>
      <c r="N65" s="24"/>
      <c r="O65" s="250"/>
      <c r="P65" s="230"/>
      <c r="Q65" s="10"/>
      <c r="R65" s="352"/>
    </row>
    <row r="66" spans="1:18" ht="4.5" customHeight="1" x14ac:dyDescent="0.2">
      <c r="A66" s="353"/>
      <c r="B66" s="1"/>
      <c r="C66" s="229"/>
      <c r="D66" s="244"/>
      <c r="E66" s="12"/>
      <c r="F66" s="12"/>
      <c r="G66" s="12"/>
      <c r="H66" s="12"/>
      <c r="I66" s="12"/>
      <c r="J66" s="12"/>
      <c r="K66" s="12"/>
      <c r="L66" s="9"/>
      <c r="M66" s="12"/>
      <c r="N66" s="12"/>
      <c r="O66" s="230"/>
      <c r="P66" s="230"/>
      <c r="Q66" s="10"/>
      <c r="R66" s="352"/>
    </row>
    <row r="67" spans="1:18" ht="12.75" customHeight="1" x14ac:dyDescent="0.2">
      <c r="A67" s="353"/>
      <c r="B67" s="1"/>
      <c r="C67" s="229"/>
      <c r="D67" s="244"/>
      <c r="E67" s="12"/>
      <c r="F67" s="12"/>
      <c r="G67" s="12"/>
      <c r="H67" s="12"/>
      <c r="I67" s="12"/>
      <c r="J67" s="12"/>
      <c r="K67" s="179" t="s">
        <v>37</v>
      </c>
      <c r="L67" s="9"/>
      <c r="M67" s="12"/>
      <c r="N67" s="313" t="s">
        <v>32</v>
      </c>
      <c r="O67" s="230"/>
      <c r="P67" s="230"/>
      <c r="Q67" s="10"/>
      <c r="R67" s="352"/>
    </row>
    <row r="68" spans="1:18" ht="4.5" customHeight="1" x14ac:dyDescent="0.2">
      <c r="A68" s="353"/>
      <c r="B68" s="1"/>
      <c r="C68" s="229"/>
      <c r="D68" s="245"/>
      <c r="E68" s="251"/>
      <c r="F68" s="251"/>
      <c r="G68" s="251"/>
      <c r="H68" s="251"/>
      <c r="I68" s="251"/>
      <c r="J68" s="251"/>
      <c r="K68" s="251"/>
      <c r="L68" s="252"/>
      <c r="M68" s="251"/>
      <c r="N68" s="251"/>
      <c r="O68" s="236"/>
      <c r="P68" s="230"/>
      <c r="Q68" s="10"/>
      <c r="R68" s="352"/>
    </row>
    <row r="69" spans="1:18" ht="4.5" customHeight="1" x14ac:dyDescent="0.2">
      <c r="A69" s="353"/>
      <c r="B69" s="1"/>
      <c r="C69" s="229"/>
      <c r="D69" s="10"/>
      <c r="E69" s="12"/>
      <c r="F69" s="12"/>
      <c r="G69" s="12"/>
      <c r="H69" s="12"/>
      <c r="I69" s="12"/>
      <c r="J69" s="12"/>
      <c r="K69" s="12"/>
      <c r="L69" s="9"/>
      <c r="M69" s="12"/>
      <c r="N69" s="12"/>
      <c r="O69" s="10"/>
      <c r="P69" s="230"/>
      <c r="Q69" s="10"/>
      <c r="R69" s="352"/>
    </row>
    <row r="70" spans="1:18" ht="12.75" customHeight="1" x14ac:dyDescent="0.2">
      <c r="A70" s="353"/>
      <c r="B70" s="1"/>
      <c r="C70" s="229"/>
      <c r="D70" s="240"/>
      <c r="E70" s="253" t="s">
        <v>36</v>
      </c>
      <c r="F70" s="254"/>
      <c r="G70" s="254"/>
      <c r="H70" s="254"/>
      <c r="I70" s="247"/>
      <c r="J70" s="254"/>
      <c r="K70" s="247"/>
      <c r="L70" s="247"/>
      <c r="M70" s="254"/>
      <c r="N70" s="255" t="s">
        <v>19</v>
      </c>
      <c r="O70" s="228"/>
      <c r="P70" s="230"/>
      <c r="Q70" s="10"/>
      <c r="R70" s="352"/>
    </row>
    <row r="71" spans="1:18" ht="4.5" customHeight="1" x14ac:dyDescent="0.2">
      <c r="A71" s="353"/>
      <c r="B71" s="1"/>
      <c r="C71" s="229"/>
      <c r="D71" s="244"/>
      <c r="E71" s="41"/>
      <c r="F71" s="41"/>
      <c r="G71" s="41"/>
      <c r="H71" s="41"/>
      <c r="I71" s="40"/>
      <c r="J71" s="12"/>
      <c r="K71" s="40"/>
      <c r="L71" s="40"/>
      <c r="M71" s="12"/>
      <c r="N71" s="12"/>
      <c r="O71" s="230"/>
      <c r="P71" s="230"/>
      <c r="Q71" s="10"/>
      <c r="R71" s="352"/>
    </row>
    <row r="72" spans="1:18" ht="12.75" customHeight="1" x14ac:dyDescent="0.2">
      <c r="A72" s="353"/>
      <c r="B72" s="1"/>
      <c r="C72" s="229"/>
      <c r="D72" s="244"/>
      <c r="E72" s="363" t="s">
        <v>183</v>
      </c>
      <c r="F72" s="363"/>
      <c r="G72" s="363"/>
      <c r="H72" s="363"/>
      <c r="I72" s="363"/>
      <c r="J72" s="363"/>
      <c r="K72" s="363"/>
      <c r="L72" s="363"/>
      <c r="M72" s="44"/>
      <c r="N72" s="66" t="str">
        <f>IF($G$15="GIA","1.5%",IF(ISBLANK($G$15),"1.5%", "2%"))</f>
        <v>1.5%</v>
      </c>
      <c r="O72" s="230"/>
      <c r="P72" s="230"/>
      <c r="Q72" s="10"/>
      <c r="R72" s="352"/>
    </row>
    <row r="73" spans="1:18" ht="4.5" customHeight="1" x14ac:dyDescent="0.2">
      <c r="A73" s="353"/>
      <c r="B73" s="1"/>
      <c r="C73" s="229"/>
      <c r="D73" s="244"/>
      <c r="E73" s="363"/>
      <c r="F73" s="363"/>
      <c r="G73" s="363"/>
      <c r="H73" s="363"/>
      <c r="I73" s="363"/>
      <c r="J73" s="363"/>
      <c r="K73" s="363"/>
      <c r="L73" s="363"/>
      <c r="M73" s="44"/>
      <c r="N73" s="68"/>
      <c r="O73" s="230"/>
      <c r="P73" s="230"/>
      <c r="Q73" s="10"/>
      <c r="R73" s="352"/>
    </row>
    <row r="74" spans="1:18" ht="12.75" customHeight="1" x14ac:dyDescent="0.2">
      <c r="A74" s="353"/>
      <c r="B74" s="1"/>
      <c r="C74" s="229"/>
      <c r="D74" s="244"/>
      <c r="E74" s="363"/>
      <c r="F74" s="363"/>
      <c r="G74" s="363"/>
      <c r="H74" s="363"/>
      <c r="I74" s="363"/>
      <c r="J74" s="363"/>
      <c r="K74" s="363"/>
      <c r="L74" s="363"/>
      <c r="M74" s="44"/>
      <c r="N74" s="66" t="str">
        <f>IF($G$15="GIA","4.5%",IF(ISBLANK($G$15),"4.5%", "5%"))</f>
        <v>4.5%</v>
      </c>
      <c r="O74" s="230"/>
      <c r="P74" s="230"/>
      <c r="Q74" s="10"/>
      <c r="R74" s="352"/>
    </row>
    <row r="75" spans="1:18" ht="4.5" customHeight="1" x14ac:dyDescent="0.2">
      <c r="A75" s="353"/>
      <c r="B75" s="1"/>
      <c r="C75" s="229"/>
      <c r="D75" s="244"/>
      <c r="E75" s="363"/>
      <c r="F75" s="363"/>
      <c r="G75" s="363"/>
      <c r="H75" s="363"/>
      <c r="I75" s="363"/>
      <c r="J75" s="363"/>
      <c r="K75" s="363"/>
      <c r="L75" s="363"/>
      <c r="M75" s="12"/>
      <c r="N75" s="68"/>
      <c r="O75" s="230"/>
      <c r="P75" s="230"/>
      <c r="Q75" s="10"/>
      <c r="R75" s="352"/>
    </row>
    <row r="76" spans="1:18" ht="12.75" customHeight="1" x14ac:dyDescent="0.2">
      <c r="A76" s="353"/>
      <c r="B76" s="1"/>
      <c r="C76" s="229"/>
      <c r="D76" s="244"/>
      <c r="E76" s="363"/>
      <c r="F76" s="363"/>
      <c r="G76" s="363"/>
      <c r="H76" s="363"/>
      <c r="I76" s="363"/>
      <c r="J76" s="363"/>
      <c r="K76" s="363"/>
      <c r="L76" s="363"/>
      <c r="M76" s="12"/>
      <c r="N76" s="66" t="str">
        <f>IF($G$15="GIA","7.5%",IF(ISBLANK($G$15),"7.5%", "8%"))</f>
        <v>7.5%</v>
      </c>
      <c r="O76" s="230"/>
      <c r="P76" s="230"/>
      <c r="Q76" s="10"/>
      <c r="R76" s="352"/>
    </row>
    <row r="77" spans="1:18" ht="4.5" customHeight="1" x14ac:dyDescent="0.2">
      <c r="A77" s="353"/>
      <c r="B77" s="1"/>
      <c r="C77" s="229"/>
      <c r="D77" s="245"/>
      <c r="E77" s="256"/>
      <c r="F77" s="256"/>
      <c r="G77" s="256"/>
      <c r="H77" s="256"/>
      <c r="I77" s="256"/>
      <c r="J77" s="256"/>
      <c r="K77" s="256"/>
      <c r="L77" s="256"/>
      <c r="M77" s="251"/>
      <c r="N77" s="257"/>
      <c r="O77" s="236"/>
      <c r="P77" s="230"/>
      <c r="Q77" s="10"/>
      <c r="R77" s="352"/>
    </row>
    <row r="78" spans="1:18" ht="4.5" hidden="1" customHeight="1" x14ac:dyDescent="0.2">
      <c r="A78" s="353"/>
      <c r="B78" s="1"/>
      <c r="C78" s="229"/>
      <c r="D78" s="10"/>
      <c r="E78" s="201"/>
      <c r="F78" s="201"/>
      <c r="G78" s="201"/>
      <c r="H78" s="201"/>
      <c r="I78" s="201"/>
      <c r="J78" s="201"/>
      <c r="K78" s="201"/>
      <c r="L78" s="201"/>
      <c r="M78" s="12"/>
      <c r="N78" s="204"/>
      <c r="O78" s="10"/>
      <c r="P78" s="230"/>
      <c r="Q78" s="10"/>
      <c r="R78" s="352"/>
    </row>
    <row r="79" spans="1:18" ht="4.5" hidden="1" customHeight="1" x14ac:dyDescent="0.2">
      <c r="A79" s="353"/>
      <c r="B79" s="1"/>
      <c r="C79" s="229"/>
      <c r="D79" s="240"/>
      <c r="E79" s="258"/>
      <c r="F79" s="258"/>
      <c r="G79" s="258"/>
      <c r="H79" s="258"/>
      <c r="I79" s="258"/>
      <c r="J79" s="258"/>
      <c r="K79" s="258"/>
      <c r="L79" s="258"/>
      <c r="M79" s="254"/>
      <c r="N79" s="259"/>
      <c r="O79" s="228"/>
      <c r="P79" s="230"/>
      <c r="Q79" s="10"/>
      <c r="R79" s="352"/>
    </row>
    <row r="80" spans="1:18" ht="12.75" hidden="1" customHeight="1" x14ac:dyDescent="0.2">
      <c r="A80" s="353"/>
      <c r="B80" s="1"/>
      <c r="C80" s="229"/>
      <c r="D80" s="244"/>
      <c r="E80" s="307" t="s">
        <v>141</v>
      </c>
      <c r="F80" s="302"/>
      <c r="G80" s="308"/>
      <c r="H80" s="308"/>
      <c r="I80" s="308"/>
      <c r="J80" s="308"/>
      <c r="K80" s="308"/>
      <c r="L80" s="308"/>
      <c r="M80" s="302"/>
      <c r="N80" s="302"/>
      <c r="O80" s="230"/>
      <c r="P80" s="230"/>
      <c r="Q80" s="10"/>
      <c r="R80" s="352"/>
    </row>
    <row r="81" spans="1:27" ht="4.5" hidden="1" customHeight="1" x14ac:dyDescent="0.2">
      <c r="A81" s="353"/>
      <c r="B81" s="1"/>
      <c r="C81" s="229"/>
      <c r="D81" s="244"/>
      <c r="E81" s="307"/>
      <c r="F81" s="302"/>
      <c r="G81" s="308"/>
      <c r="H81" s="308"/>
      <c r="I81" s="308"/>
      <c r="J81" s="308"/>
      <c r="K81" s="308"/>
      <c r="L81" s="308"/>
      <c r="M81" s="302"/>
      <c r="N81" s="302"/>
      <c r="O81" s="230"/>
      <c r="P81" s="230"/>
      <c r="Q81" s="10"/>
      <c r="R81" s="352"/>
    </row>
    <row r="82" spans="1:27" ht="12.75" hidden="1" customHeight="1" x14ac:dyDescent="0.2">
      <c r="A82" s="353"/>
      <c r="B82" s="1"/>
      <c r="C82" s="229"/>
      <c r="D82" s="244"/>
      <c r="E82" s="367" t="s">
        <v>142</v>
      </c>
      <c r="F82" s="367"/>
      <c r="G82" s="367"/>
      <c r="H82" s="367"/>
      <c r="I82" s="367"/>
      <c r="J82" s="367"/>
      <c r="K82" s="367"/>
      <c r="L82" s="308"/>
      <c r="M82" s="208"/>
      <c r="N82" s="309"/>
      <c r="O82" s="230"/>
      <c r="P82" s="230"/>
      <c r="Q82" s="10"/>
      <c r="R82" s="352"/>
    </row>
    <row r="83" spans="1:27" ht="4.5" hidden="1" customHeight="1" x14ac:dyDescent="0.2">
      <c r="A83" s="353"/>
      <c r="B83" s="1"/>
      <c r="C83" s="229"/>
      <c r="D83" s="245"/>
      <c r="E83" s="256"/>
      <c r="F83" s="256"/>
      <c r="G83" s="256"/>
      <c r="H83" s="256"/>
      <c r="I83" s="256"/>
      <c r="J83" s="256"/>
      <c r="K83" s="256"/>
      <c r="L83" s="256"/>
      <c r="M83" s="256"/>
      <c r="N83" s="256"/>
      <c r="O83" s="236"/>
      <c r="P83" s="230"/>
      <c r="Q83" s="10"/>
      <c r="R83" s="352"/>
    </row>
    <row r="84" spans="1:27" ht="4.5" customHeight="1" x14ac:dyDescent="0.2">
      <c r="A84" s="353"/>
      <c r="B84" s="1"/>
      <c r="C84" s="229"/>
      <c r="D84" s="10"/>
      <c r="E84" s="41"/>
      <c r="F84" s="41"/>
      <c r="G84" s="41"/>
      <c r="H84" s="41"/>
      <c r="I84" s="41"/>
      <c r="J84" s="12"/>
      <c r="K84" s="12"/>
      <c r="L84" s="9"/>
      <c r="M84" s="12"/>
      <c r="N84" s="12"/>
      <c r="O84" s="10"/>
      <c r="P84" s="230"/>
      <c r="Q84" s="10"/>
      <c r="R84" s="352"/>
    </row>
    <row r="85" spans="1:27" ht="12.75" customHeight="1" x14ac:dyDescent="0.2">
      <c r="A85" s="353"/>
      <c r="B85" s="1"/>
      <c r="C85" s="229"/>
      <c r="D85" s="240"/>
      <c r="E85" s="253" t="s">
        <v>148</v>
      </c>
      <c r="F85" s="258"/>
      <c r="G85" s="258"/>
      <c r="H85" s="258"/>
      <c r="I85" s="258"/>
      <c r="J85" s="254"/>
      <c r="K85" s="254"/>
      <c r="L85" s="260"/>
      <c r="M85" s="254"/>
      <c r="N85" s="254"/>
      <c r="O85" s="228"/>
      <c r="P85" s="230"/>
      <c r="Q85" s="10"/>
      <c r="R85" s="352"/>
    </row>
    <row r="86" spans="1:27" ht="4.5" customHeight="1" x14ac:dyDescent="0.2">
      <c r="A86" s="353"/>
      <c r="B86" s="1"/>
      <c r="C86" s="229"/>
      <c r="D86" s="244"/>
      <c r="E86" s="15"/>
      <c r="F86" s="201"/>
      <c r="G86" s="201"/>
      <c r="H86" s="201"/>
      <c r="I86" s="201"/>
      <c r="J86" s="12"/>
      <c r="K86" s="12"/>
      <c r="L86" s="9"/>
      <c r="M86" s="12"/>
      <c r="N86" s="12"/>
      <c r="O86" s="230"/>
      <c r="P86" s="230"/>
      <c r="Q86" s="10"/>
      <c r="R86" s="352"/>
    </row>
    <row r="87" spans="1:27" ht="13.5" customHeight="1" x14ac:dyDescent="0.2">
      <c r="A87" s="353"/>
      <c r="B87" s="1"/>
      <c r="C87" s="229"/>
      <c r="D87" s="244"/>
      <c r="E87" s="363" t="s">
        <v>84</v>
      </c>
      <c r="F87" s="363"/>
      <c r="G87" s="363"/>
      <c r="H87" s="363"/>
      <c r="I87" s="363"/>
      <c r="J87" s="363"/>
      <c r="K87" s="363"/>
      <c r="L87" s="363"/>
      <c r="M87" s="363"/>
      <c r="N87" s="363"/>
      <c r="O87" s="230"/>
      <c r="P87" s="230"/>
      <c r="Q87" s="10"/>
      <c r="R87" s="352"/>
    </row>
    <row r="88" spans="1:27" ht="27" customHeight="1" x14ac:dyDescent="0.2">
      <c r="A88" s="353"/>
      <c r="B88" s="1"/>
      <c r="C88" s="229"/>
      <c r="D88" s="244"/>
      <c r="E88" s="369" t="str">
        <f>IF(G22=V110,"Please note: if you are making an additional investment into an existing client account, the ongoing charge must be the same.","")</f>
        <v/>
      </c>
      <c r="F88" s="369"/>
      <c r="G88" s="369"/>
      <c r="H88" s="369"/>
      <c r="I88" s="369"/>
      <c r="J88" s="369"/>
      <c r="K88" s="369"/>
      <c r="L88" s="369"/>
      <c r="M88" s="369"/>
      <c r="N88" s="369"/>
      <c r="O88" s="230"/>
      <c r="P88" s="230"/>
      <c r="Q88" s="10"/>
      <c r="R88" s="352"/>
    </row>
    <row r="89" spans="1:27" ht="15" customHeight="1" x14ac:dyDescent="0.2">
      <c r="A89" s="353"/>
      <c r="B89" s="1"/>
      <c r="C89" s="229"/>
      <c r="D89" s="244"/>
      <c r="E89" s="19"/>
      <c r="F89" s="19"/>
      <c r="G89" s="19"/>
      <c r="H89" s="19"/>
      <c r="I89" s="19"/>
      <c r="J89" s="19"/>
      <c r="K89" s="29" t="str">
        <f>IF($N$91="","",
IF($N$91=$V$171,$X$124,"(%)"))</f>
        <v/>
      </c>
      <c r="L89" s="17"/>
      <c r="M89" s="18"/>
      <c r="N89" s="340" t="s">
        <v>185</v>
      </c>
      <c r="O89" s="230"/>
      <c r="P89" s="230"/>
      <c r="Q89" s="10"/>
      <c r="R89" s="352"/>
    </row>
    <row r="90" spans="1:27" ht="4.5" customHeight="1" x14ac:dyDescent="0.2">
      <c r="A90" s="353"/>
      <c r="B90" s="1"/>
      <c r="C90" s="229"/>
      <c r="D90" s="244"/>
      <c r="E90" s="19"/>
      <c r="F90" s="19"/>
      <c r="G90" s="19"/>
      <c r="H90" s="19"/>
      <c r="I90" s="19"/>
      <c r="J90" s="19"/>
      <c r="K90" s="19"/>
      <c r="L90" s="17"/>
      <c r="M90" s="18"/>
      <c r="N90" s="264"/>
      <c r="O90" s="230"/>
      <c r="P90" s="230"/>
      <c r="Q90" s="10"/>
      <c r="R90" s="352"/>
    </row>
    <row r="91" spans="1:27" x14ac:dyDescent="0.2">
      <c r="A91" s="353"/>
      <c r="B91" s="1"/>
      <c r="C91" s="229"/>
      <c r="D91" s="244"/>
      <c r="E91" s="15" t="s">
        <v>190</v>
      </c>
      <c r="F91" s="5"/>
      <c r="G91" s="3"/>
      <c r="H91" s="3"/>
      <c r="I91" s="3"/>
      <c r="J91" s="3"/>
      <c r="K91" s="341"/>
      <c r="L91" s="4"/>
      <c r="M91" s="13"/>
      <c r="N91" s="343"/>
      <c r="O91" s="230"/>
      <c r="P91" s="230"/>
      <c r="Q91" s="10"/>
      <c r="R91" s="352"/>
    </row>
    <row r="92" spans="1:27" ht="4.5" customHeight="1" x14ac:dyDescent="0.2">
      <c r="A92" s="353"/>
      <c r="B92" s="1"/>
      <c r="C92" s="229"/>
      <c r="D92" s="244"/>
      <c r="E92" s="16"/>
      <c r="F92" s="8"/>
      <c r="G92" s="3"/>
      <c r="H92" s="3"/>
      <c r="I92" s="3"/>
      <c r="J92" s="3"/>
      <c r="K92" s="3"/>
      <c r="L92" s="4"/>
      <c r="M92" s="13"/>
      <c r="N92" s="279"/>
      <c r="O92" s="230"/>
      <c r="P92" s="230"/>
      <c r="Q92" s="10"/>
      <c r="R92" s="352"/>
    </row>
    <row r="93" spans="1:27" x14ac:dyDescent="0.2">
      <c r="A93" s="353"/>
      <c r="B93" s="1"/>
      <c r="C93" s="229"/>
      <c r="D93" s="244"/>
      <c r="E93" s="15" t="s">
        <v>149</v>
      </c>
      <c r="F93" s="5"/>
      <c r="G93" s="40"/>
      <c r="H93" s="3"/>
      <c r="I93" s="3"/>
      <c r="J93" s="3"/>
      <c r="K93" s="220"/>
      <c r="L93" s="4"/>
      <c r="M93" s="13"/>
      <c r="N93" s="279"/>
      <c r="O93" s="230"/>
      <c r="P93" s="230"/>
      <c r="Q93" s="10"/>
      <c r="R93" s="352"/>
    </row>
    <row r="94" spans="1:27" ht="4.5" customHeight="1" x14ac:dyDescent="0.2">
      <c r="A94" s="353"/>
      <c r="B94" s="1"/>
      <c r="C94" s="229"/>
      <c r="D94" s="244"/>
      <c r="E94" s="19"/>
      <c r="F94" s="7"/>
      <c r="G94" s="7"/>
      <c r="H94" s="7"/>
      <c r="I94" s="7"/>
      <c r="J94" s="7"/>
      <c r="K94" s="7"/>
      <c r="L94" s="4"/>
      <c r="M94" s="13"/>
      <c r="N94" s="279"/>
      <c r="O94" s="230"/>
      <c r="P94" s="230"/>
      <c r="Q94" s="10"/>
      <c r="R94" s="352"/>
    </row>
    <row r="95" spans="1:27" ht="12.75" customHeight="1" x14ac:dyDescent="0.2">
      <c r="A95" s="353"/>
      <c r="B95" s="1"/>
      <c r="C95" s="229"/>
      <c r="D95" s="244"/>
      <c r="E95" s="19"/>
      <c r="F95" s="7"/>
      <c r="G95" s="7"/>
      <c r="H95" s="7"/>
      <c r="I95" s="7"/>
      <c r="J95" s="7"/>
      <c r="K95" s="29" t="str">
        <f>IF($N$97="","",
IF($N$97=$V$171,$X$124,"(%)"))</f>
        <v/>
      </c>
      <c r="L95" s="4"/>
      <c r="M95" s="13"/>
      <c r="N95" s="340" t="str">
        <f>IF($G$28=$V$106,"Select charging basis below:","")</f>
        <v/>
      </c>
      <c r="O95" s="230"/>
      <c r="P95" s="230"/>
      <c r="Q95" s="10"/>
      <c r="R95" s="352"/>
      <c r="AA95" t="e">
        <f>IF(G15=X106,AC113:AC114,AC105:AC110)</f>
        <v>#VALUE!</v>
      </c>
    </row>
    <row r="96" spans="1:27" ht="4.5" customHeight="1" x14ac:dyDescent="0.2">
      <c r="A96" s="353"/>
      <c r="B96" s="1"/>
      <c r="C96" s="229"/>
      <c r="D96" s="244"/>
      <c r="E96" s="19"/>
      <c r="F96" s="7"/>
      <c r="G96" s="7"/>
      <c r="H96" s="7"/>
      <c r="I96" s="7"/>
      <c r="J96" s="7"/>
      <c r="K96" s="7"/>
      <c r="L96" s="4"/>
      <c r="M96" s="13"/>
      <c r="N96" s="279"/>
      <c r="O96" s="230"/>
      <c r="P96" s="230"/>
      <c r="Q96" s="10"/>
      <c r="R96" s="352"/>
    </row>
    <row r="97" spans="1:38" x14ac:dyDescent="0.2">
      <c r="A97" s="353"/>
      <c r="B97" s="1"/>
      <c r="C97" s="229"/>
      <c r="D97" s="244"/>
      <c r="E97" s="15" t="str">
        <f>IF($G$28=V106,"     Initial Adviser Charge - Regular Monthly Investment","")</f>
        <v/>
      </c>
      <c r="F97" s="5"/>
      <c r="G97" s="5"/>
      <c r="H97" s="5"/>
      <c r="I97" s="5"/>
      <c r="J97" s="5"/>
      <c r="K97" s="341"/>
      <c r="L97" s="4"/>
      <c r="M97" s="13"/>
      <c r="N97" s="344"/>
      <c r="O97" s="230"/>
      <c r="P97" s="230"/>
      <c r="Q97" s="10"/>
      <c r="R97" s="352"/>
    </row>
    <row r="98" spans="1:38" ht="4.5" customHeight="1" x14ac:dyDescent="0.2">
      <c r="A98" s="353"/>
      <c r="B98" s="1"/>
      <c r="C98" s="229"/>
      <c r="D98" s="245"/>
      <c r="E98" s="233"/>
      <c r="F98" s="261"/>
      <c r="G98" s="261"/>
      <c r="H98" s="261"/>
      <c r="I98" s="261"/>
      <c r="J98" s="261"/>
      <c r="K98" s="261"/>
      <c r="L98" s="261"/>
      <c r="M98" s="261"/>
      <c r="N98" s="261"/>
      <c r="O98" s="236"/>
      <c r="P98" s="230"/>
      <c r="Q98" s="10"/>
      <c r="R98" s="352"/>
    </row>
    <row r="99" spans="1:38" ht="4.5" customHeight="1" x14ac:dyDescent="0.2">
      <c r="A99" s="353"/>
      <c r="B99" s="1"/>
      <c r="C99" s="229"/>
      <c r="D99" s="10"/>
      <c r="E99" s="31"/>
      <c r="F99" s="31"/>
      <c r="G99" s="31"/>
      <c r="H99" s="31"/>
      <c r="I99" s="31"/>
      <c r="J99" s="31"/>
      <c r="K99" s="31"/>
      <c r="L99" s="31"/>
      <c r="M99" s="31"/>
      <c r="N99" s="31"/>
      <c r="O99" s="221"/>
      <c r="P99" s="230"/>
      <c r="Q99" s="10"/>
      <c r="R99" s="352"/>
    </row>
    <row r="100" spans="1:38" ht="25.5" customHeight="1" x14ac:dyDescent="0.2">
      <c r="A100" s="353"/>
      <c r="B100" s="1"/>
      <c r="C100" s="229"/>
      <c r="D100" s="10"/>
      <c r="E100" s="364" t="s">
        <v>203</v>
      </c>
      <c r="F100" s="364"/>
      <c r="G100" s="364"/>
      <c r="H100" s="364"/>
      <c r="I100" s="364"/>
      <c r="J100" s="364"/>
      <c r="K100" s="364"/>
      <c r="L100" s="364"/>
      <c r="M100" s="364"/>
      <c r="N100" s="364"/>
      <c r="O100" s="10"/>
      <c r="P100" s="230"/>
      <c r="Q100" s="10"/>
      <c r="R100" s="352"/>
      <c r="U100" t="e">
        <f>IF($E$44=$Z$106,$AG$126:$AG$129,IF($E$44=$Z$107,$AG$126:$AG$131,$Z$105))</f>
        <v>#VALUE!</v>
      </c>
    </row>
    <row r="101" spans="1:38" ht="4.5" customHeight="1" x14ac:dyDescent="0.2">
      <c r="A101" s="353"/>
      <c r="B101" s="1"/>
      <c r="C101" s="231"/>
      <c r="D101" s="232"/>
      <c r="E101" s="238"/>
      <c r="F101" s="239"/>
      <c r="G101" s="239"/>
      <c r="H101" s="239"/>
      <c r="I101" s="239"/>
      <c r="J101" s="239"/>
      <c r="K101" s="239"/>
      <c r="L101" s="239"/>
      <c r="M101" s="239"/>
      <c r="N101" s="239"/>
      <c r="O101" s="232"/>
      <c r="P101" s="236"/>
      <c r="Q101" s="10"/>
      <c r="R101" s="352"/>
    </row>
    <row r="102" spans="1:38" ht="19.5" customHeight="1" thickBot="1" x14ac:dyDescent="0.25">
      <c r="A102" s="353"/>
      <c r="B102" s="1"/>
      <c r="C102" s="1"/>
      <c r="D102" s="1"/>
      <c r="E102" s="3"/>
      <c r="F102" s="3"/>
      <c r="G102" s="3"/>
      <c r="H102" s="3"/>
      <c r="I102" s="3"/>
      <c r="J102" s="3"/>
      <c r="K102" s="3"/>
      <c r="L102" s="3"/>
      <c r="M102" s="3"/>
      <c r="N102" s="3"/>
      <c r="O102" s="1"/>
      <c r="P102" s="1"/>
      <c r="Q102" s="1"/>
      <c r="R102" s="352"/>
    </row>
    <row r="103" spans="1:38" ht="30" customHeight="1" x14ac:dyDescent="0.2">
      <c r="A103" s="59"/>
      <c r="B103" s="354"/>
      <c r="C103" s="354"/>
      <c r="D103" s="354"/>
      <c r="E103" s="354"/>
      <c r="F103" s="354"/>
      <c r="G103" s="354"/>
      <c r="H103" s="354"/>
      <c r="I103" s="354"/>
      <c r="J103" s="354"/>
      <c r="K103" s="354"/>
      <c r="L103" s="354"/>
      <c r="M103" s="354"/>
      <c r="N103" s="354"/>
      <c r="O103" s="354"/>
      <c r="P103" s="354"/>
      <c r="Q103" s="354"/>
      <c r="R103" s="59"/>
    </row>
    <row r="104" spans="1:38" ht="13.5" hidden="1" thickBot="1" x14ac:dyDescent="0.25">
      <c r="B104" s="38"/>
      <c r="C104" s="38"/>
      <c r="D104" s="38"/>
      <c r="E104" s="38"/>
      <c r="F104" s="38"/>
      <c r="G104" s="38"/>
      <c r="H104" s="38"/>
      <c r="I104" s="38"/>
      <c r="J104" s="38"/>
      <c r="K104" s="38"/>
      <c r="L104" s="38"/>
      <c r="M104" s="38"/>
      <c r="N104" s="38"/>
      <c r="O104" s="38"/>
      <c r="P104" s="38"/>
      <c r="Q104" s="38"/>
      <c r="X104" s="20" t="s">
        <v>23</v>
      </c>
      <c r="Z104" s="20" t="s">
        <v>39</v>
      </c>
      <c r="AC104" s="20" t="s">
        <v>131</v>
      </c>
      <c r="AG104" s="324" t="s">
        <v>177</v>
      </c>
      <c r="AJ104" s="80" t="s">
        <v>55</v>
      </c>
      <c r="AK104" s="80" t="s">
        <v>56</v>
      </c>
      <c r="AL104" s="80" t="s">
        <v>57</v>
      </c>
    </row>
    <row r="105" spans="1:38" ht="16.5" hidden="1" thickTop="1" thickBot="1" x14ac:dyDescent="0.3">
      <c r="U105" s="181" t="s">
        <v>45</v>
      </c>
      <c r="V105" s="189" t="s">
        <v>46</v>
      </c>
      <c r="X105" s="36" t="s">
        <v>151</v>
      </c>
      <c r="Z105" s="36" t="s">
        <v>42</v>
      </c>
      <c r="AC105" s="197" t="s">
        <v>144</v>
      </c>
      <c r="AD105" s="222">
        <v>0</v>
      </c>
      <c r="AE105" s="325" t="s">
        <v>179</v>
      </c>
      <c r="AG105" s="322" t="str">
        <f>$AC$105</f>
        <v xml:space="preserve"> - please select the strategy -</v>
      </c>
      <c r="AJ105" s="199">
        <v>0</v>
      </c>
      <c r="AK105" s="200">
        <v>249999.99</v>
      </c>
      <c r="AL105" s="202">
        <v>0.48</v>
      </c>
    </row>
    <row r="106" spans="1:38" ht="16.5" hidden="1" thickTop="1" thickBot="1" x14ac:dyDescent="0.3">
      <c r="U106" s="182"/>
      <c r="V106" s="189" t="s">
        <v>21</v>
      </c>
      <c r="X106" s="36" t="s">
        <v>16</v>
      </c>
      <c r="Z106" s="36" t="s">
        <v>195</v>
      </c>
      <c r="AC106" s="197" t="s">
        <v>196</v>
      </c>
      <c r="AD106" s="222">
        <v>2.5000000000000001E-3</v>
      </c>
      <c r="AE106" s="223"/>
      <c r="AF106" s="321"/>
      <c r="AG106" s="323" t="e">
        <f>IF(ISBLANK($E$38),$AC$105,
IF($E$38=$Z$105,$AC$105,
IF($E$38=$Z$106,#REF!,
IF($E$38=$Z$107,$AC110,
$AC$105))))</f>
        <v>#REF!</v>
      </c>
      <c r="AH106" s="321"/>
      <c r="AI106" s="321"/>
      <c r="AJ106" s="199">
        <v>250000</v>
      </c>
      <c r="AK106" s="200">
        <v>999999.99</v>
      </c>
      <c r="AL106" s="202">
        <v>0.48</v>
      </c>
    </row>
    <row r="107" spans="1:38" ht="16.5" hidden="1" thickTop="1" thickBot="1" x14ac:dyDescent="0.3">
      <c r="U107" s="183"/>
      <c r="V107" s="189" t="s">
        <v>44</v>
      </c>
      <c r="X107" s="36" t="s">
        <v>173</v>
      </c>
      <c r="Z107" s="36"/>
      <c r="AC107" s="197" t="s">
        <v>197</v>
      </c>
      <c r="AD107" s="222">
        <v>2.5000000000000001E-3</v>
      </c>
      <c r="AE107" s="223"/>
      <c r="AF107" s="321"/>
      <c r="AG107" s="323" t="str">
        <f>IF(ISBLANK($E$38),$AC$105,
IF($E$38=$Z$105,$AC$105,
IF($E$38=$Z$106,$AC106,
IF($E$38=$Z$107,$AC113,
$AC$105))))</f>
        <v>iGuard Defensive</v>
      </c>
      <c r="AH107" s="321"/>
      <c r="AI107" s="321"/>
      <c r="AJ107" s="199">
        <v>1000000</v>
      </c>
      <c r="AK107" s="200">
        <v>3999999.99</v>
      </c>
      <c r="AL107" s="202">
        <v>0.48</v>
      </c>
    </row>
    <row r="108" spans="1:38" ht="16.5" hidden="1" thickTop="1" thickBot="1" x14ac:dyDescent="0.3">
      <c r="A108"/>
      <c r="B108"/>
      <c r="C108"/>
      <c r="D108"/>
      <c r="E108"/>
      <c r="F108"/>
      <c r="G108"/>
      <c r="H108"/>
      <c r="I108"/>
      <c r="J108"/>
      <c r="K108"/>
      <c r="L108"/>
      <c r="M108"/>
      <c r="N108"/>
      <c r="O108"/>
      <c r="P108"/>
      <c r="Q108"/>
      <c r="R108"/>
      <c r="X108" s="36" t="s">
        <v>10</v>
      </c>
      <c r="Z108" s="36"/>
      <c r="AC108" s="197" t="s">
        <v>198</v>
      </c>
      <c r="AD108" s="222">
        <v>2.5000000000000001E-3</v>
      </c>
      <c r="AE108" s="223"/>
      <c r="AF108" s="321"/>
      <c r="AG108" s="323" t="str">
        <f>IF(ISBLANK($E$38),$AC$105,
IF($E$38=$Z$105,$AC$105,
IF($E$38=$Z$106,$AC107,
IF($E$38=$Z$107,$AC114,
$AC$105))))</f>
        <v>iGuard Cautious</v>
      </c>
      <c r="AH108" s="321"/>
      <c r="AI108" s="321"/>
      <c r="AJ108" s="199">
        <v>4000000</v>
      </c>
      <c r="AK108" s="200">
        <v>4999999.99</v>
      </c>
      <c r="AL108" s="202">
        <v>0.48</v>
      </c>
    </row>
    <row r="109" spans="1:38" ht="16.5" hidden="1" thickTop="1" thickBot="1" x14ac:dyDescent="0.3">
      <c r="A109"/>
      <c r="B109"/>
      <c r="C109"/>
      <c r="D109"/>
      <c r="E109"/>
      <c r="F109"/>
      <c r="G109"/>
      <c r="H109"/>
      <c r="I109"/>
      <c r="J109"/>
      <c r="K109"/>
      <c r="L109"/>
      <c r="M109"/>
      <c r="N109"/>
      <c r="O109"/>
      <c r="P109"/>
      <c r="Q109"/>
      <c r="R109"/>
      <c r="U109" s="184" t="s">
        <v>40</v>
      </c>
      <c r="V109" s="189" t="s">
        <v>22</v>
      </c>
      <c r="X109" s="36" t="s">
        <v>43</v>
      </c>
      <c r="Z109" s="36"/>
      <c r="AC109" s="197" t="s">
        <v>199</v>
      </c>
      <c r="AD109" s="222">
        <v>2.5000000000000001E-3</v>
      </c>
      <c r="AE109" s="223"/>
      <c r="AF109" s="321"/>
      <c r="AG109" s="323" t="str">
        <f>IF(ISBLANK($E$38),$AC$105,
IF($E$38=$Z$105,$AC$105,
IF($E$38=$Z$106,$AC108,
IF($E$38=$Z$107,$AC115,
$AC$105))))</f>
        <v>iGuard Cautious +</v>
      </c>
      <c r="AH109" s="321"/>
      <c r="AI109" s="321"/>
      <c r="AJ109" s="199">
        <v>5000000</v>
      </c>
      <c r="AK109" s="200">
        <v>20000000</v>
      </c>
      <c r="AL109" s="202">
        <v>0.48</v>
      </c>
    </row>
    <row r="110" spans="1:38" ht="16.5" hidden="1" thickTop="1" thickBot="1" x14ac:dyDescent="0.3">
      <c r="A110"/>
      <c r="B110"/>
      <c r="C110"/>
      <c r="D110"/>
      <c r="E110"/>
      <c r="F110"/>
      <c r="G110"/>
      <c r="H110"/>
      <c r="I110"/>
      <c r="J110"/>
      <c r="K110"/>
      <c r="L110"/>
      <c r="M110"/>
      <c r="N110"/>
      <c r="O110"/>
      <c r="P110"/>
      <c r="Q110"/>
      <c r="R110"/>
      <c r="U110" s="263"/>
      <c r="V110" s="189" t="s">
        <v>41</v>
      </c>
      <c r="X110" s="51" t="s">
        <v>11</v>
      </c>
      <c r="Z110" s="36"/>
      <c r="AC110" s="197" t="s">
        <v>200</v>
      </c>
      <c r="AD110" s="222">
        <v>2.5000000000000001E-3</v>
      </c>
      <c r="AE110" s="223"/>
      <c r="AF110" s="321"/>
      <c r="AG110" s="323" t="str">
        <f>IF(ISBLANK($E$38),$AC$105,
IF($E$38=$Z$105,$AC$105,
IF($E$38=$Z$106,$AC109,
IF($E$38=$Z$107,$AC116,
$AC$105))))</f>
        <v>iGuard Balanced</v>
      </c>
      <c r="AH110" s="321"/>
      <c r="AI110" s="321"/>
      <c r="AJ110" s="199">
        <v>20000000.010000002</v>
      </c>
      <c r="AK110" s="200">
        <v>9999999999</v>
      </c>
      <c r="AL110" s="202">
        <v>0.48</v>
      </c>
    </row>
    <row r="111" spans="1:38" ht="16.5" hidden="1" thickTop="1" thickBot="1" x14ac:dyDescent="0.3">
      <c r="A111"/>
      <c r="B111"/>
      <c r="C111"/>
      <c r="D111"/>
      <c r="E111"/>
      <c r="F111"/>
      <c r="G111"/>
      <c r="H111"/>
      <c r="I111"/>
      <c r="J111"/>
      <c r="K111"/>
      <c r="L111"/>
      <c r="M111"/>
      <c r="N111"/>
      <c r="O111"/>
      <c r="P111"/>
      <c r="Q111"/>
      <c r="R111"/>
      <c r="U111" s="183"/>
      <c r="V111" s="189" t="s">
        <v>167</v>
      </c>
      <c r="X111" s="36"/>
      <c r="AC111" s="197" t="s">
        <v>201</v>
      </c>
      <c r="AD111" s="222">
        <v>2.5000000000000001E-3</v>
      </c>
      <c r="AE111" s="223"/>
      <c r="AF111" s="321"/>
      <c r="AG111" s="324" t="s">
        <v>178</v>
      </c>
      <c r="AH111" s="321"/>
      <c r="AI111" s="321"/>
      <c r="AJ111" s="199"/>
      <c r="AK111" s="200"/>
      <c r="AL111" s="78"/>
    </row>
    <row r="112" spans="1:38" ht="16.5" hidden="1" thickTop="1" thickBot="1" x14ac:dyDescent="0.3">
      <c r="A112"/>
      <c r="B112"/>
      <c r="C112"/>
      <c r="D112"/>
      <c r="E112"/>
      <c r="F112"/>
      <c r="G112"/>
      <c r="H112"/>
      <c r="I112"/>
      <c r="J112"/>
      <c r="K112"/>
      <c r="L112"/>
      <c r="M112"/>
      <c r="N112"/>
      <c r="O112"/>
      <c r="P112"/>
      <c r="Q112"/>
      <c r="R112"/>
      <c r="X112" s="36"/>
      <c r="AC112" s="197" t="s">
        <v>202</v>
      </c>
      <c r="AD112" s="222">
        <v>2.5000000000000001E-3</v>
      </c>
      <c r="AE112" s="223"/>
      <c r="AF112" s="321"/>
      <c r="AG112" s="323" t="str">
        <f>$AC$105</f>
        <v xml:space="preserve"> - please select the strategy -</v>
      </c>
      <c r="AH112" s="321"/>
      <c r="AI112" s="321"/>
    </row>
    <row r="113" spans="1:35" ht="16.5" hidden="1" thickTop="1" thickBot="1" x14ac:dyDescent="0.3">
      <c r="A113"/>
      <c r="B113"/>
      <c r="C113"/>
      <c r="D113"/>
      <c r="E113"/>
      <c r="F113"/>
      <c r="G113"/>
      <c r="H113"/>
      <c r="I113"/>
      <c r="J113"/>
      <c r="K113"/>
      <c r="L113"/>
      <c r="M113"/>
      <c r="N113"/>
      <c r="O113"/>
      <c r="P113"/>
      <c r="Q113"/>
      <c r="R113"/>
      <c r="U113" s="191" t="s">
        <v>34</v>
      </c>
      <c r="V113" s="198" t="s">
        <v>32</v>
      </c>
      <c r="X113" s="36"/>
      <c r="AC113" s="197"/>
      <c r="AD113" s="222"/>
      <c r="AE113" s="223"/>
      <c r="AF113" s="321"/>
      <c r="AG113" s="323" t="e">
        <f>IF(ISBLANK($E$40),$AC$105,
IF($E$40=$Z$105,$AC$105,
IF($E$40=$Z$106,#REF!,
IF($E$40=$Z$107,$AC110,
$AC$105))))</f>
        <v>#REF!</v>
      </c>
      <c r="AH113" s="321"/>
      <c r="AI113" s="321"/>
    </row>
    <row r="114" spans="1:35" ht="16.5" hidden="1" thickTop="1" thickBot="1" x14ac:dyDescent="0.3">
      <c r="A114"/>
      <c r="B114"/>
      <c r="C114"/>
      <c r="D114"/>
      <c r="E114"/>
      <c r="F114"/>
      <c r="G114"/>
      <c r="H114"/>
      <c r="I114"/>
      <c r="J114"/>
      <c r="K114"/>
      <c r="L114"/>
      <c r="M114"/>
      <c r="N114"/>
      <c r="O114"/>
      <c r="P114"/>
      <c r="Q114"/>
      <c r="R114"/>
      <c r="U114" s="190"/>
      <c r="V114" s="198" t="s">
        <v>33</v>
      </c>
      <c r="AC114" s="197"/>
      <c r="AD114" s="222"/>
      <c r="AE114" s="223"/>
      <c r="AF114" s="321"/>
      <c r="AG114" s="323" t="str">
        <f>IF(ISBLANK($E$40),$AC$105,
IF($E$40=$Z$105,$AC$105,
IF($E$40=$Z$106,$AC106,
IF($E$40=$Z$107,$AC113,
$AC$105))))</f>
        <v>iGuard Defensive</v>
      </c>
      <c r="AH114" s="321"/>
      <c r="AI114" s="321"/>
    </row>
    <row r="115" spans="1:35" ht="16.5" hidden="1" thickTop="1" thickBot="1" x14ac:dyDescent="0.3">
      <c r="A115"/>
      <c r="B115"/>
      <c r="C115"/>
      <c r="D115"/>
      <c r="E115"/>
      <c r="F115"/>
      <c r="G115"/>
      <c r="H115"/>
      <c r="I115"/>
      <c r="J115"/>
      <c r="K115"/>
      <c r="L115"/>
      <c r="M115"/>
      <c r="N115"/>
      <c r="O115"/>
      <c r="P115"/>
      <c r="Q115"/>
      <c r="R115"/>
      <c r="X115" s="20" t="s">
        <v>182</v>
      </c>
      <c r="AC115" s="197"/>
      <c r="AD115" s="222"/>
      <c r="AE115" s="223"/>
      <c r="AF115" s="321"/>
      <c r="AG115" s="323" t="str">
        <f>IF(ISBLANK($E$40),$AC$105,
IF($E$40=$Z$105,$AC$105,
IF($E$40=$Z$106,$AC107,
IF($E$40=$Z$107,$AC114,
$AC$105))))</f>
        <v>iGuard Cautious</v>
      </c>
      <c r="AH115" s="321"/>
      <c r="AI115" s="321"/>
    </row>
    <row r="116" spans="1:35" ht="16.5" hidden="1" thickTop="1" thickBot="1" x14ac:dyDescent="0.3">
      <c r="A116"/>
      <c r="B116"/>
      <c r="C116"/>
      <c r="D116"/>
      <c r="E116"/>
      <c r="F116"/>
      <c r="G116"/>
      <c r="H116"/>
      <c r="I116"/>
      <c r="J116"/>
      <c r="K116"/>
      <c r="L116"/>
      <c r="M116"/>
      <c r="N116"/>
      <c r="O116"/>
      <c r="P116"/>
      <c r="Q116"/>
      <c r="R116"/>
      <c r="U116" s="181" t="s">
        <v>165</v>
      </c>
      <c r="V116" s="189" t="s">
        <v>162</v>
      </c>
      <c r="X116" s="20" t="s">
        <v>60</v>
      </c>
      <c r="AC116" s="197"/>
      <c r="AD116" s="222"/>
      <c r="AE116" s="223"/>
      <c r="AF116" s="321"/>
      <c r="AG116" s="323" t="str">
        <f>IF(ISBLANK($E$40),$AC$105,
IF($E$40=$Z$105,$AC$105,
IF($E$40=$Z$106,$AC108,
IF($E$40=$Z$107,$AC115,
$AC$105))))</f>
        <v>iGuard Cautious +</v>
      </c>
      <c r="AH116" s="321"/>
      <c r="AI116" s="321"/>
    </row>
    <row r="117" spans="1:35" ht="16.5" hidden="1" thickTop="1" thickBot="1" x14ac:dyDescent="0.3">
      <c r="A117"/>
      <c r="B117"/>
      <c r="C117"/>
      <c r="D117"/>
      <c r="E117"/>
      <c r="F117"/>
      <c r="G117"/>
      <c r="H117"/>
      <c r="I117"/>
      <c r="J117"/>
      <c r="K117"/>
      <c r="L117"/>
      <c r="M117"/>
      <c r="N117"/>
      <c r="O117"/>
      <c r="P117"/>
      <c r="Q117"/>
      <c r="R117"/>
      <c r="U117" s="182"/>
      <c r="V117" s="189" t="s">
        <v>163</v>
      </c>
      <c r="X117" s="20" t="s">
        <v>61</v>
      </c>
      <c r="AC117" s="197"/>
      <c r="AD117" s="222"/>
      <c r="AE117" s="223"/>
      <c r="AF117" s="321"/>
      <c r="AG117" s="323" t="str">
        <f>IF(ISBLANK($E$40),$AC$105,
IF($E$40=$Z$105,$AC$105,
IF($E$40=$Z$106,$AC109,
IF($E$40=$Z$107,$AC116,
$AC$105))))</f>
        <v>iGuard Balanced</v>
      </c>
      <c r="AH117" s="321"/>
      <c r="AI117" s="321"/>
    </row>
    <row r="118" spans="1:35" ht="16.5" hidden="1" thickTop="1" thickBot="1" x14ac:dyDescent="0.3">
      <c r="A118"/>
      <c r="B118"/>
      <c r="C118"/>
      <c r="D118"/>
      <c r="E118"/>
      <c r="F118"/>
      <c r="G118"/>
      <c r="H118"/>
      <c r="I118"/>
      <c r="J118"/>
      <c r="K118"/>
      <c r="L118"/>
      <c r="M118"/>
      <c r="N118"/>
      <c r="O118"/>
      <c r="P118"/>
      <c r="Q118"/>
      <c r="R118"/>
      <c r="U118" s="183"/>
      <c r="V118" s="189" t="s">
        <v>164</v>
      </c>
      <c r="X118" s="327" t="s">
        <v>62</v>
      </c>
      <c r="AC118" s="197"/>
      <c r="AD118" s="222"/>
      <c r="AE118" s="223"/>
      <c r="AF118" s="321"/>
      <c r="AG118" s="324" t="s">
        <v>180</v>
      </c>
      <c r="AH118" s="321"/>
      <c r="AI118" s="321"/>
    </row>
    <row r="119" spans="1:35" ht="16.5" hidden="1" thickTop="1" thickBot="1" x14ac:dyDescent="0.3">
      <c r="A119"/>
      <c r="B119"/>
      <c r="C119"/>
      <c r="D119"/>
      <c r="E119"/>
      <c r="F119"/>
      <c r="G119"/>
      <c r="H119"/>
      <c r="I119"/>
      <c r="J119"/>
      <c r="K119"/>
      <c r="L119"/>
      <c r="M119"/>
      <c r="N119"/>
      <c r="O119"/>
      <c r="P119"/>
      <c r="Q119"/>
      <c r="R119"/>
      <c r="U119" s="262" t="s">
        <v>166</v>
      </c>
      <c r="V119" s="189" t="str">
        <f>IF(N26=V113,V116,V117)</f>
        <v>Lump Sum Investment Amount</v>
      </c>
      <c r="AC119" s="197"/>
      <c r="AD119" s="222"/>
      <c r="AE119" s="223"/>
      <c r="AF119" s="321"/>
      <c r="AG119" s="322" t="str">
        <f>$AC$105</f>
        <v xml:space="preserve"> - please select the strategy -</v>
      </c>
      <c r="AH119" s="321"/>
      <c r="AI119" s="321"/>
    </row>
    <row r="120" spans="1:35" ht="16.5" hidden="1" thickTop="1" thickBot="1" x14ac:dyDescent="0.3">
      <c r="A120"/>
      <c r="B120"/>
      <c r="C120"/>
      <c r="D120"/>
      <c r="E120"/>
      <c r="F120"/>
      <c r="G120"/>
      <c r="H120"/>
      <c r="I120"/>
      <c r="J120"/>
      <c r="K120"/>
      <c r="L120"/>
      <c r="M120"/>
      <c r="N120"/>
      <c r="O120"/>
      <c r="P120"/>
      <c r="Q120"/>
      <c r="R120"/>
      <c r="AC120" s="197"/>
      <c r="AD120" s="222"/>
      <c r="AE120" s="223"/>
      <c r="AF120" s="321"/>
      <c r="AG120" s="322" t="e">
        <f>IF(ISBLANK($E$42),$AC$105,
IF($E$42=$Z$105,$AC$105,
IF($E$42=$Z$106,#REF!,
IF($E$42=$Z$107,$AC110,
$AC$105))))</f>
        <v>#REF!</v>
      </c>
      <c r="AH120" s="321"/>
      <c r="AI120" s="321"/>
    </row>
    <row r="121" spans="1:35" ht="16.5" hidden="1" thickTop="1" thickBot="1" x14ac:dyDescent="0.3">
      <c r="A121"/>
      <c r="B121"/>
      <c r="C121"/>
      <c r="D121"/>
      <c r="E121"/>
      <c r="F121"/>
      <c r="G121"/>
      <c r="H121"/>
      <c r="I121"/>
      <c r="J121"/>
      <c r="K121"/>
      <c r="L121"/>
      <c r="M121"/>
      <c r="N121"/>
      <c r="O121"/>
      <c r="P121"/>
      <c r="Q121"/>
      <c r="R121"/>
      <c r="U121" s="181" t="s">
        <v>169</v>
      </c>
      <c r="V121" s="37" t="s">
        <v>170</v>
      </c>
      <c r="X121" s="20" t="s">
        <v>191</v>
      </c>
      <c r="AC121" s="197"/>
      <c r="AD121" s="222"/>
      <c r="AE121" s="223"/>
      <c r="AF121" s="321"/>
      <c r="AG121" s="322" t="str">
        <f>IF(ISBLANK($E$42),$AC$105,
IF($E$42=$Z$105,$AC$105,
IF($E$42=$Z$106,$AC106,
IF($E$42=$Z$107,$AC113,
$AC$105))))</f>
        <v>iGuard Defensive</v>
      </c>
      <c r="AH121" s="321"/>
      <c r="AI121" s="321"/>
    </row>
    <row r="122" spans="1:35" ht="16.5" hidden="1" thickTop="1" thickBot="1" x14ac:dyDescent="0.3">
      <c r="A122"/>
      <c r="B122"/>
      <c r="C122"/>
      <c r="D122"/>
      <c r="E122"/>
      <c r="F122"/>
      <c r="G122"/>
      <c r="H122"/>
      <c r="I122"/>
      <c r="J122"/>
      <c r="K122"/>
      <c r="L122"/>
      <c r="M122"/>
      <c r="N122"/>
      <c r="O122"/>
      <c r="P122"/>
      <c r="Q122"/>
      <c r="R122"/>
      <c r="U122" s="182"/>
      <c r="V122" s="37" t="s">
        <v>171</v>
      </c>
      <c r="X122" s="20" t="s">
        <v>192</v>
      </c>
      <c r="AC122" s="197"/>
      <c r="AD122" s="222"/>
      <c r="AE122" s="223"/>
      <c r="AF122" s="321"/>
      <c r="AG122" s="322" t="str">
        <f>IF(ISBLANK($E$42),$AC$105,
IF($E$42=$Z$105,$AC$105,
IF($E$42=$Z$106,$AC107,
IF($E$42=$Z$107,$AC114,
$AC$105))))</f>
        <v>iGuard Cautious</v>
      </c>
      <c r="AH122" s="321"/>
      <c r="AI122" s="321"/>
    </row>
    <row r="123" spans="1:35" ht="16.5" hidden="1" thickTop="1" thickBot="1" x14ac:dyDescent="0.3">
      <c r="A123"/>
      <c r="B123"/>
      <c r="C123"/>
      <c r="D123"/>
      <c r="E123"/>
      <c r="F123"/>
      <c r="G123"/>
      <c r="H123"/>
      <c r="I123"/>
      <c r="J123"/>
      <c r="K123"/>
      <c r="L123"/>
      <c r="M123"/>
      <c r="N123"/>
      <c r="O123"/>
      <c r="P123"/>
      <c r="Q123"/>
      <c r="R123"/>
      <c r="U123" s="182"/>
      <c r="V123" s="37" t="s">
        <v>172</v>
      </c>
      <c r="X123" s="357" t="s">
        <v>193</v>
      </c>
      <c r="AC123" s="197"/>
      <c r="AD123" s="222"/>
      <c r="AE123" s="223"/>
      <c r="AF123" s="321"/>
      <c r="AG123" s="322" t="str">
        <f>IF(ISBLANK($E$42),$AC$105,
IF($E$42=$Z$105,$AC$105,
IF($E$42=$Z$106,$AC108,
IF($E$42=$Z$107,$AC115,
$AC$105))))</f>
        <v>iGuard Cautious +</v>
      </c>
      <c r="AH123" s="321"/>
      <c r="AI123" s="321"/>
    </row>
    <row r="124" spans="1:35" ht="16.5" hidden="1" thickTop="1" thickBot="1" x14ac:dyDescent="0.3">
      <c r="A124"/>
      <c r="B124"/>
      <c r="C124"/>
      <c r="D124"/>
      <c r="E124"/>
      <c r="F124"/>
      <c r="G124"/>
      <c r="H124"/>
      <c r="I124"/>
      <c r="J124"/>
      <c r="K124"/>
      <c r="L124"/>
      <c r="M124"/>
      <c r="N124"/>
      <c r="O124"/>
      <c r="P124"/>
      <c r="Q124"/>
      <c r="R124"/>
      <c r="U124" s="183"/>
      <c r="V124" s="189" t="str">
        <f>IF($G$24=$V$122,"USD",IF(G$24=$V$123,"EURO","GBP"))</f>
        <v>GBP</v>
      </c>
      <c r="X124" t="str">
        <f>IF($G$24=$V$122,$X$122,IF(G$24=$V$123,$X$123,$X$121))</f>
        <v>(£)</v>
      </c>
      <c r="AC124" s="197"/>
      <c r="AD124" s="222"/>
      <c r="AE124" s="223"/>
      <c r="AF124" s="321"/>
      <c r="AG124" s="322" t="str">
        <f>IF(ISBLANK($E$42),$AC$105,
IF($E$42=$Z$105,$AC$105,
IF($E$42=$Z$106,$AC109,
IF($E$42=$Z$107,$AC116,
$AC$105))))</f>
        <v>iGuard Balanced</v>
      </c>
      <c r="AH124" s="321"/>
      <c r="AI124" s="321"/>
    </row>
    <row r="125" spans="1:35" ht="16.5" hidden="1" thickTop="1" thickBot="1" x14ac:dyDescent="0.3">
      <c r="A125"/>
      <c r="B125"/>
      <c r="C125"/>
      <c r="D125"/>
      <c r="E125"/>
      <c r="F125"/>
      <c r="G125"/>
      <c r="H125"/>
      <c r="I125"/>
      <c r="J125"/>
      <c r="K125"/>
      <c r="L125"/>
      <c r="M125"/>
      <c r="N125"/>
      <c r="O125"/>
      <c r="P125"/>
      <c r="Q125"/>
      <c r="R125"/>
      <c r="AC125" s="197"/>
      <c r="AD125" s="222"/>
      <c r="AE125" s="223"/>
      <c r="AF125" s="321"/>
      <c r="AG125" s="324" t="s">
        <v>181</v>
      </c>
      <c r="AH125" s="321"/>
      <c r="AI125" s="321"/>
    </row>
    <row r="126" spans="1:35" ht="16.5" hidden="1" thickTop="1" thickBot="1" x14ac:dyDescent="0.3">
      <c r="A126"/>
      <c r="B126"/>
      <c r="C126"/>
      <c r="D126"/>
      <c r="E126"/>
      <c r="F126"/>
      <c r="G126"/>
      <c r="H126"/>
      <c r="I126"/>
      <c r="J126"/>
      <c r="K126"/>
      <c r="L126"/>
      <c r="M126"/>
      <c r="N126"/>
      <c r="O126"/>
      <c r="P126"/>
      <c r="Q126"/>
      <c r="R126"/>
      <c r="U126" s="188" t="s">
        <v>132</v>
      </c>
      <c r="V126" s="189">
        <f>IF(G24=V122,V128,IF(G24=V123,V129,V127))</f>
        <v>3000</v>
      </c>
      <c r="AC126" s="197"/>
      <c r="AD126" s="222"/>
      <c r="AE126" s="223"/>
      <c r="AF126" s="321"/>
      <c r="AG126" s="322" t="str">
        <f>$AC$105</f>
        <v xml:space="preserve"> - please select the strategy -</v>
      </c>
      <c r="AH126" s="321"/>
      <c r="AI126" s="321"/>
    </row>
    <row r="127" spans="1:35" ht="16.5" hidden="1" thickTop="1" thickBot="1" x14ac:dyDescent="0.3">
      <c r="A127"/>
      <c r="B127"/>
      <c r="C127"/>
      <c r="D127"/>
      <c r="E127"/>
      <c r="F127"/>
      <c r="G127"/>
      <c r="H127"/>
      <c r="I127"/>
      <c r="J127"/>
      <c r="K127"/>
      <c r="L127"/>
      <c r="M127"/>
      <c r="N127"/>
      <c r="O127"/>
      <c r="P127"/>
      <c r="Q127"/>
      <c r="R127"/>
      <c r="U127" s="186"/>
      <c r="V127" s="280">
        <v>3000</v>
      </c>
      <c r="AC127" s="197"/>
      <c r="AD127" s="222"/>
      <c r="AE127" s="223"/>
      <c r="AF127" s="321"/>
      <c r="AG127" s="322" t="e">
        <f>IF(ISBLANK($E$44),$AC$105,
IF($E$44=$Z$105,$AC$105,
IF($E$44=$Z$106,#REF!,
IF($E$44=$Z$107,$AC110,
$AC$105))))</f>
        <v>#REF!</v>
      </c>
      <c r="AH127" s="321"/>
      <c r="AI127" s="321"/>
    </row>
    <row r="128" spans="1:35" ht="16.5" hidden="1" thickTop="1" thickBot="1" x14ac:dyDescent="0.3">
      <c r="A128"/>
      <c r="B128"/>
      <c r="C128"/>
      <c r="D128"/>
      <c r="E128"/>
      <c r="F128"/>
      <c r="G128"/>
      <c r="H128"/>
      <c r="I128"/>
      <c r="J128"/>
      <c r="K128"/>
      <c r="L128"/>
      <c r="M128"/>
      <c r="N128"/>
      <c r="O128"/>
      <c r="P128"/>
      <c r="Q128"/>
      <c r="R128"/>
      <c r="U128" s="186"/>
      <c r="V128" s="273">
        <v>5000</v>
      </c>
      <c r="AC128" s="197"/>
      <c r="AD128" s="222"/>
      <c r="AE128" s="223"/>
      <c r="AF128" s="321"/>
      <c r="AG128" s="322" t="str">
        <f>IF(ISBLANK($E$44),$AC$105,
IF($E$44=$Z$105,$AC$105,
IF($E$44=$Z$106,$AC106,
IF($E$44=$Z$107,$AC113,
$AC$105))))</f>
        <v>iGuard Defensive</v>
      </c>
      <c r="AH128" s="321"/>
      <c r="AI128" s="321"/>
    </row>
    <row r="129" spans="1:33" ht="16.5" hidden="1" thickTop="1" thickBot="1" x14ac:dyDescent="0.3">
      <c r="A129"/>
      <c r="B129"/>
      <c r="C129"/>
      <c r="D129"/>
      <c r="E129"/>
      <c r="F129"/>
      <c r="G129"/>
      <c r="H129"/>
      <c r="I129"/>
      <c r="J129"/>
      <c r="K129"/>
      <c r="L129"/>
      <c r="M129"/>
      <c r="N129"/>
      <c r="O129"/>
      <c r="P129"/>
      <c r="Q129"/>
      <c r="R129"/>
      <c r="U129" s="186"/>
      <c r="V129" s="274">
        <v>5000</v>
      </c>
      <c r="AC129" s="197"/>
      <c r="AD129" s="222"/>
      <c r="AG129" s="322" t="str">
        <f>IF(ISBLANK($E$44),$AC$105,
IF($E$44=$Z$105,$AC$105,
IF($E$44=$Z$106,$AC107,
IF($E$44=$Z$107,$AC114,
$AC$105))))</f>
        <v>iGuard Cautious</v>
      </c>
    </row>
    <row r="130" spans="1:33" ht="16.5" hidden="1" thickTop="1" thickBot="1" x14ac:dyDescent="0.3">
      <c r="A130"/>
      <c r="B130"/>
      <c r="C130"/>
      <c r="D130"/>
      <c r="E130"/>
      <c r="F130"/>
      <c r="G130"/>
      <c r="H130"/>
      <c r="I130"/>
      <c r="J130"/>
      <c r="K130"/>
      <c r="L130"/>
      <c r="M130"/>
      <c r="N130"/>
      <c r="O130"/>
      <c r="P130"/>
      <c r="Q130"/>
      <c r="R130"/>
      <c r="U130" s="186" t="s">
        <v>133</v>
      </c>
      <c r="V130" s="189">
        <f>IF(G24=V122,V132,IF(G24=V123,V133,V131))</f>
        <v>1000</v>
      </c>
      <c r="AC130" s="197"/>
      <c r="AD130" s="222"/>
      <c r="AG130" s="322" t="str">
        <f>IF(ISBLANK($E$44),$AC$105,
IF($E$44=$Z$105,$AC$105,
IF($E$44=$Z$106,$AC108,
IF($E$44=$Z$107,$AC115,
$AC$105))))</f>
        <v>iGuard Cautious +</v>
      </c>
    </row>
    <row r="131" spans="1:33" ht="16.5" hidden="1" thickTop="1" thickBot="1" x14ac:dyDescent="0.3">
      <c r="A131"/>
      <c r="B131"/>
      <c r="C131"/>
      <c r="D131"/>
      <c r="E131"/>
      <c r="F131"/>
      <c r="G131"/>
      <c r="H131"/>
      <c r="I131"/>
      <c r="J131"/>
      <c r="K131"/>
      <c r="L131"/>
      <c r="M131"/>
      <c r="N131"/>
      <c r="O131"/>
      <c r="P131"/>
      <c r="Q131"/>
      <c r="R131"/>
      <c r="U131" s="186"/>
      <c r="V131" s="280">
        <v>1000</v>
      </c>
      <c r="AG131" s="322" t="str">
        <f>IF(ISBLANK($E$44),$AC$105,
IF($E$44=$Z$105,$AC$105,
IF($E$44=$Z$106,$AC109,
IF($E$44=$Z$107,$AC116,
$AC$105))))</f>
        <v>iGuard Balanced</v>
      </c>
    </row>
    <row r="132" spans="1:33" ht="16.5" hidden="1" thickTop="1" thickBot="1" x14ac:dyDescent="0.3">
      <c r="A132"/>
      <c r="B132"/>
      <c r="C132"/>
      <c r="D132"/>
      <c r="E132"/>
      <c r="F132"/>
      <c r="G132"/>
      <c r="H132"/>
      <c r="I132"/>
      <c r="J132"/>
      <c r="K132"/>
      <c r="L132"/>
      <c r="M132"/>
      <c r="N132"/>
      <c r="O132"/>
      <c r="P132"/>
      <c r="Q132"/>
      <c r="R132"/>
      <c r="U132" s="186"/>
      <c r="V132" s="273">
        <v>1500</v>
      </c>
    </row>
    <row r="133" spans="1:33" ht="16.5" hidden="1" thickTop="1" thickBot="1" x14ac:dyDescent="0.3">
      <c r="A133"/>
      <c r="B133"/>
      <c r="C133"/>
      <c r="D133"/>
      <c r="E133"/>
      <c r="F133"/>
      <c r="G133"/>
      <c r="H133"/>
      <c r="I133"/>
      <c r="J133"/>
      <c r="K133"/>
      <c r="L133"/>
      <c r="M133"/>
      <c r="N133"/>
      <c r="O133"/>
      <c r="P133"/>
      <c r="Q133"/>
      <c r="R133"/>
      <c r="U133" s="186"/>
      <c r="V133" s="274">
        <v>1500</v>
      </c>
      <c r="Y133" s="1"/>
      <c r="Z133" s="1"/>
      <c r="AA133" s="1"/>
      <c r="AB133" s="1"/>
    </row>
    <row r="134" spans="1:33" ht="16.5" hidden="1" thickTop="1" thickBot="1" x14ac:dyDescent="0.3">
      <c r="A134"/>
      <c r="B134"/>
      <c r="C134"/>
      <c r="D134"/>
      <c r="E134"/>
      <c r="F134"/>
      <c r="G134"/>
      <c r="H134"/>
      <c r="I134"/>
      <c r="J134"/>
      <c r="K134"/>
      <c r="L134"/>
      <c r="M134"/>
      <c r="N134"/>
      <c r="O134"/>
      <c r="P134"/>
      <c r="Q134"/>
      <c r="R134"/>
      <c r="U134" s="186" t="s">
        <v>134</v>
      </c>
      <c r="V134" s="189">
        <f>IF(G24=V122,V136,IF(G24=V123,V137,V135))</f>
        <v>250</v>
      </c>
    </row>
    <row r="135" spans="1:33" ht="16.5" hidden="1" thickTop="1" thickBot="1" x14ac:dyDescent="0.3">
      <c r="A135"/>
      <c r="B135"/>
      <c r="C135"/>
      <c r="D135"/>
      <c r="E135"/>
      <c r="F135"/>
      <c r="G135"/>
      <c r="H135"/>
      <c r="I135"/>
      <c r="J135"/>
      <c r="K135"/>
      <c r="L135"/>
      <c r="M135"/>
      <c r="N135"/>
      <c r="O135"/>
      <c r="P135"/>
      <c r="Q135"/>
      <c r="R135"/>
      <c r="U135" s="186"/>
      <c r="V135" s="280">
        <v>250</v>
      </c>
    </row>
    <row r="136" spans="1:33" ht="16.5" hidden="1" thickTop="1" thickBot="1" x14ac:dyDescent="0.3">
      <c r="A136"/>
      <c r="B136"/>
      <c r="C136"/>
      <c r="D136"/>
      <c r="E136"/>
      <c r="F136"/>
      <c r="G136"/>
      <c r="H136"/>
      <c r="I136"/>
      <c r="J136"/>
      <c r="K136"/>
      <c r="L136"/>
      <c r="M136"/>
      <c r="N136"/>
      <c r="O136"/>
      <c r="P136"/>
      <c r="Q136"/>
      <c r="R136"/>
      <c r="U136" s="186"/>
      <c r="V136" s="273">
        <v>500</v>
      </c>
    </row>
    <row r="137" spans="1:33" ht="16.5" hidden="1" thickTop="1" thickBot="1" x14ac:dyDescent="0.3">
      <c r="A137"/>
      <c r="B137"/>
      <c r="C137"/>
      <c r="D137"/>
      <c r="E137"/>
      <c r="F137"/>
      <c r="G137"/>
      <c r="H137"/>
      <c r="I137"/>
      <c r="J137"/>
      <c r="K137"/>
      <c r="L137"/>
      <c r="M137"/>
      <c r="N137"/>
      <c r="O137"/>
      <c r="P137"/>
      <c r="Q137"/>
      <c r="R137"/>
      <c r="U137" s="186"/>
      <c r="V137" s="274">
        <v>500</v>
      </c>
    </row>
    <row r="138" spans="1:33" ht="16.5" hidden="1" thickTop="1" thickBot="1" x14ac:dyDescent="0.3">
      <c r="A138"/>
      <c r="B138"/>
      <c r="C138"/>
      <c r="D138"/>
      <c r="E138"/>
      <c r="F138"/>
      <c r="G138"/>
      <c r="H138"/>
      <c r="I138"/>
      <c r="J138"/>
      <c r="K138"/>
      <c r="L138"/>
      <c r="M138"/>
      <c r="N138"/>
      <c r="O138"/>
      <c r="P138"/>
      <c r="Q138"/>
      <c r="R138"/>
      <c r="U138" s="186" t="s">
        <v>135</v>
      </c>
      <c r="V138" s="189">
        <f>IF(G24=V122,V140,IF(G24=V123,V141,V139))</f>
        <v>250</v>
      </c>
    </row>
    <row r="139" spans="1:33" ht="16.5" hidden="1" thickTop="1" thickBot="1" x14ac:dyDescent="0.3">
      <c r="A139"/>
      <c r="B139"/>
      <c r="C139"/>
      <c r="D139"/>
      <c r="E139"/>
      <c r="F139"/>
      <c r="G139"/>
      <c r="H139"/>
      <c r="I139"/>
      <c r="J139"/>
      <c r="K139"/>
      <c r="L139"/>
      <c r="M139"/>
      <c r="N139"/>
      <c r="O139"/>
      <c r="P139"/>
      <c r="Q139"/>
      <c r="R139"/>
      <c r="U139" s="186"/>
      <c r="V139" s="280">
        <v>250</v>
      </c>
    </row>
    <row r="140" spans="1:33" ht="16.5" hidden="1" thickTop="1" thickBot="1" x14ac:dyDescent="0.3">
      <c r="A140"/>
      <c r="B140"/>
      <c r="C140"/>
      <c r="D140"/>
      <c r="E140"/>
      <c r="F140"/>
      <c r="G140"/>
      <c r="H140"/>
      <c r="I140"/>
      <c r="J140"/>
      <c r="K140"/>
      <c r="L140"/>
      <c r="M140"/>
      <c r="N140"/>
      <c r="O140"/>
      <c r="P140"/>
      <c r="Q140"/>
      <c r="R140"/>
      <c r="U140" s="186"/>
      <c r="V140" s="273">
        <v>500</v>
      </c>
    </row>
    <row r="141" spans="1:33" ht="16.5" hidden="1" thickTop="1" thickBot="1" x14ac:dyDescent="0.3">
      <c r="A141"/>
      <c r="B141"/>
      <c r="C141"/>
      <c r="D141"/>
      <c r="E141"/>
      <c r="F141"/>
      <c r="G141"/>
      <c r="H141"/>
      <c r="I141"/>
      <c r="J141"/>
      <c r="K141"/>
      <c r="L141"/>
      <c r="M141"/>
      <c r="N141"/>
      <c r="O141"/>
      <c r="P141"/>
      <c r="Q141"/>
      <c r="R141"/>
      <c r="U141" s="186"/>
      <c r="V141" s="274">
        <v>500</v>
      </c>
    </row>
    <row r="142" spans="1:33" ht="16.5" hidden="1" thickTop="1" thickBot="1" x14ac:dyDescent="0.3">
      <c r="A142"/>
      <c r="B142"/>
      <c r="C142"/>
      <c r="D142"/>
      <c r="E142"/>
      <c r="F142"/>
      <c r="G142"/>
      <c r="H142"/>
      <c r="I142"/>
      <c r="J142"/>
      <c r="K142"/>
      <c r="L142"/>
      <c r="M142"/>
      <c r="N142"/>
      <c r="O142"/>
      <c r="P142"/>
      <c r="Q142"/>
      <c r="R142"/>
      <c r="U142" s="185"/>
      <c r="V142" s="265"/>
    </row>
    <row r="143" spans="1:33" ht="16.5" hidden="1" thickTop="1" thickBot="1" x14ac:dyDescent="0.3">
      <c r="U143" s="192" t="s">
        <v>47</v>
      </c>
      <c r="V143" s="266">
        <f>IF(G28=V107,V138,IF(G15="SIPP",150,V134))</f>
        <v>250</v>
      </c>
    </row>
    <row r="144" spans="1:33" ht="16.5" hidden="1" thickTop="1" thickBot="1" x14ac:dyDescent="0.3">
      <c r="A144"/>
      <c r="B144"/>
      <c r="C144"/>
      <c r="D144"/>
      <c r="E144"/>
      <c r="F144"/>
      <c r="G144"/>
      <c r="H144"/>
      <c r="I144"/>
      <c r="J144"/>
      <c r="K144"/>
      <c r="L144"/>
      <c r="M144"/>
      <c r="N144"/>
      <c r="O144"/>
      <c r="P144"/>
      <c r="Q144"/>
      <c r="R144"/>
      <c r="U144" s="187" t="s">
        <v>48</v>
      </c>
      <c r="V144" s="266">
        <f>IF(G22=V110,V130,IF(G22=V111,V134,V126))</f>
        <v>3000</v>
      </c>
    </row>
    <row r="145" spans="1:22" ht="14.25" hidden="1" thickTop="1" thickBot="1" x14ac:dyDescent="0.25">
      <c r="A145"/>
      <c r="B145"/>
      <c r="C145"/>
      <c r="D145"/>
      <c r="E145"/>
      <c r="F145"/>
      <c r="G145"/>
      <c r="H145"/>
      <c r="I145"/>
      <c r="J145"/>
      <c r="K145"/>
      <c r="L145"/>
      <c r="M145"/>
      <c r="N145"/>
      <c r="O145"/>
      <c r="P145"/>
      <c r="Q145"/>
      <c r="R145"/>
    </row>
    <row r="146" spans="1:22" ht="16.5" hidden="1" thickTop="1" thickBot="1" x14ac:dyDescent="0.3">
      <c r="A146"/>
      <c r="B146"/>
      <c r="C146"/>
      <c r="D146"/>
      <c r="E146"/>
      <c r="F146"/>
      <c r="G146"/>
      <c r="H146"/>
      <c r="I146"/>
      <c r="J146"/>
      <c r="K146"/>
      <c r="L146"/>
      <c r="M146"/>
      <c r="N146"/>
      <c r="O146"/>
      <c r="P146"/>
      <c r="Q146"/>
      <c r="R146"/>
      <c r="U146" s="188" t="s">
        <v>17</v>
      </c>
      <c r="V146" s="35">
        <v>5.5E-2</v>
      </c>
    </row>
    <row r="147" spans="1:22" ht="16.5" hidden="1" thickTop="1" thickBot="1" x14ac:dyDescent="0.3">
      <c r="A147"/>
      <c r="B147"/>
      <c r="C147"/>
      <c r="D147"/>
      <c r="E147"/>
      <c r="F147"/>
      <c r="G147"/>
      <c r="H147"/>
      <c r="I147"/>
      <c r="J147"/>
      <c r="K147"/>
      <c r="L147"/>
      <c r="M147"/>
      <c r="N147"/>
      <c r="O147"/>
      <c r="P147"/>
      <c r="Q147"/>
      <c r="R147"/>
      <c r="U147" s="193" t="s">
        <v>18</v>
      </c>
      <c r="V147" s="35">
        <v>0.02</v>
      </c>
    </row>
    <row r="148" spans="1:22" ht="14.25" hidden="1" thickTop="1" thickBot="1" x14ac:dyDescent="0.25">
      <c r="A148"/>
      <c r="B148"/>
      <c r="C148"/>
      <c r="D148"/>
      <c r="E148"/>
      <c r="F148"/>
      <c r="G148"/>
      <c r="H148"/>
      <c r="I148"/>
      <c r="J148"/>
      <c r="K148"/>
      <c r="L148"/>
      <c r="M148"/>
      <c r="N148"/>
      <c r="O148"/>
      <c r="P148"/>
      <c r="Q148"/>
      <c r="R148"/>
    </row>
    <row r="149" spans="1:22" ht="16.5" hidden="1" thickTop="1" thickBot="1" x14ac:dyDescent="0.3">
      <c r="A149"/>
      <c r="B149"/>
      <c r="C149"/>
      <c r="D149"/>
      <c r="E149"/>
      <c r="F149"/>
      <c r="G149"/>
      <c r="H149"/>
      <c r="I149"/>
      <c r="J149"/>
      <c r="K149"/>
      <c r="L149"/>
      <c r="M149"/>
      <c r="N149"/>
      <c r="O149"/>
      <c r="P149"/>
      <c r="Q149"/>
      <c r="R149"/>
      <c r="U149" s="196" t="s">
        <v>15</v>
      </c>
      <c r="V149" s="194">
        <f ca="1">TODAY()</f>
        <v>42033</v>
      </c>
    </row>
    <row r="150" spans="1:22" ht="14.25" hidden="1" thickTop="1" thickBot="1" x14ac:dyDescent="0.25">
      <c r="A150"/>
      <c r="B150"/>
      <c r="C150"/>
      <c r="D150"/>
      <c r="E150"/>
      <c r="F150"/>
      <c r="G150"/>
      <c r="H150"/>
      <c r="I150"/>
      <c r="J150"/>
      <c r="K150"/>
      <c r="L150"/>
      <c r="M150"/>
      <c r="N150"/>
      <c r="O150"/>
      <c r="P150"/>
      <c r="Q150"/>
      <c r="R150"/>
    </row>
    <row r="151" spans="1:22" ht="16.5" hidden="1" thickTop="1" thickBot="1" x14ac:dyDescent="0.3">
      <c r="A151"/>
      <c r="B151"/>
      <c r="C151"/>
      <c r="D151"/>
      <c r="E151"/>
      <c r="F151"/>
      <c r="G151"/>
      <c r="H151"/>
      <c r="I151"/>
      <c r="J151"/>
      <c r="K151"/>
      <c r="L151"/>
      <c r="M151"/>
      <c r="N151"/>
      <c r="O151"/>
      <c r="P151"/>
      <c r="Q151"/>
      <c r="R151"/>
      <c r="U151" s="195" t="s">
        <v>38</v>
      </c>
      <c r="V151" s="35">
        <v>0.03</v>
      </c>
    </row>
    <row r="152" spans="1:22" ht="14.25" hidden="1" thickTop="1" thickBot="1" x14ac:dyDescent="0.25">
      <c r="A152"/>
      <c r="B152"/>
      <c r="C152"/>
      <c r="D152"/>
      <c r="E152"/>
      <c r="F152"/>
      <c r="G152"/>
      <c r="H152"/>
      <c r="I152"/>
      <c r="J152"/>
      <c r="K152"/>
      <c r="L152"/>
      <c r="M152"/>
      <c r="N152"/>
      <c r="O152"/>
      <c r="P152"/>
      <c r="Q152"/>
      <c r="R152"/>
    </row>
    <row r="153" spans="1:22" ht="16.5" hidden="1" thickTop="1" thickBot="1" x14ac:dyDescent="0.3">
      <c r="A153"/>
      <c r="B153"/>
      <c r="C153"/>
      <c r="D153"/>
      <c r="E153"/>
      <c r="F153"/>
      <c r="G153"/>
      <c r="H153"/>
      <c r="I153"/>
      <c r="J153"/>
      <c r="K153"/>
      <c r="L153"/>
      <c r="M153"/>
      <c r="N153"/>
      <c r="O153"/>
      <c r="P153"/>
      <c r="Q153"/>
      <c r="R153"/>
      <c r="U153" s="181" t="s">
        <v>175</v>
      </c>
      <c r="V153" s="37">
        <v>60</v>
      </c>
    </row>
    <row r="154" spans="1:22" ht="16.5" hidden="1" thickTop="1" thickBot="1" x14ac:dyDescent="0.3">
      <c r="A154"/>
      <c r="B154"/>
      <c r="C154"/>
      <c r="D154"/>
      <c r="E154"/>
      <c r="F154"/>
      <c r="G154"/>
      <c r="H154"/>
      <c r="I154"/>
      <c r="J154"/>
      <c r="K154"/>
      <c r="L154"/>
      <c r="M154"/>
      <c r="N154"/>
      <c r="O154"/>
      <c r="P154"/>
      <c r="Q154"/>
      <c r="R154"/>
      <c r="U154" s="182"/>
      <c r="V154" s="273">
        <v>100</v>
      </c>
    </row>
    <row r="155" spans="1:22" ht="16.5" hidden="1" thickTop="1" thickBot="1" x14ac:dyDescent="0.3">
      <c r="A155"/>
      <c r="B155"/>
      <c r="C155"/>
      <c r="D155"/>
      <c r="E155"/>
      <c r="F155"/>
      <c r="G155"/>
      <c r="H155"/>
      <c r="I155"/>
      <c r="J155"/>
      <c r="K155"/>
      <c r="L155"/>
      <c r="M155"/>
      <c r="N155"/>
      <c r="O155"/>
      <c r="P155"/>
      <c r="Q155"/>
      <c r="R155"/>
      <c r="U155" s="182"/>
      <c r="V155" s="274">
        <v>0</v>
      </c>
    </row>
    <row r="156" spans="1:22" ht="16.5" hidden="1" thickTop="1" thickBot="1" x14ac:dyDescent="0.3">
      <c r="A156"/>
      <c r="B156"/>
      <c r="C156"/>
      <c r="D156"/>
      <c r="E156"/>
      <c r="F156"/>
      <c r="G156"/>
      <c r="H156"/>
      <c r="I156"/>
      <c r="J156"/>
      <c r="K156"/>
      <c r="L156"/>
      <c r="M156"/>
      <c r="N156"/>
      <c r="O156"/>
      <c r="P156"/>
      <c r="Q156"/>
      <c r="R156"/>
      <c r="U156" s="183"/>
      <c r="V156" s="275">
        <f>IF(G24=V121,V153,IF(G24=V122,V154,V153))</f>
        <v>60</v>
      </c>
    </row>
    <row r="157" spans="1:22" ht="14.25" hidden="1" thickTop="1" thickBot="1" x14ac:dyDescent="0.25">
      <c r="A157"/>
      <c r="B157"/>
      <c r="C157"/>
      <c r="D157"/>
      <c r="E157"/>
      <c r="F157"/>
      <c r="G157"/>
      <c r="H157"/>
      <c r="I157"/>
      <c r="J157"/>
      <c r="K157"/>
      <c r="L157"/>
      <c r="M157"/>
      <c r="N157"/>
      <c r="O157"/>
      <c r="P157"/>
      <c r="Q157"/>
      <c r="R157"/>
    </row>
    <row r="158" spans="1:22" ht="16.5" hidden="1" thickTop="1" thickBot="1" x14ac:dyDescent="0.3">
      <c r="A158"/>
      <c r="B158"/>
      <c r="C158"/>
      <c r="D158"/>
      <c r="E158"/>
      <c r="F158"/>
      <c r="G158"/>
      <c r="H158"/>
      <c r="I158"/>
      <c r="J158"/>
      <c r="K158"/>
      <c r="L158"/>
      <c r="M158"/>
      <c r="N158"/>
      <c r="O158"/>
      <c r="P158"/>
      <c r="Q158"/>
      <c r="R158"/>
      <c r="U158" s="317" t="s">
        <v>136</v>
      </c>
      <c r="V158" s="316">
        <v>0</v>
      </c>
    </row>
    <row r="159" spans="1:22" ht="16.5" hidden="1" thickTop="1" thickBot="1" x14ac:dyDescent="0.3">
      <c r="A159"/>
      <c r="B159"/>
      <c r="C159"/>
      <c r="D159"/>
      <c r="E159"/>
      <c r="F159"/>
      <c r="G159"/>
      <c r="H159"/>
      <c r="I159"/>
      <c r="J159"/>
      <c r="K159"/>
      <c r="L159"/>
      <c r="M159"/>
      <c r="N159"/>
      <c r="O159"/>
      <c r="P159"/>
      <c r="Q159"/>
      <c r="R159"/>
      <c r="U159" s="318" t="s">
        <v>137</v>
      </c>
      <c r="V159" s="316">
        <f>V169</f>
        <v>0</v>
      </c>
    </row>
    <row r="160" spans="1:22" ht="13.5" hidden="1" thickTop="1" x14ac:dyDescent="0.2">
      <c r="A160"/>
      <c r="B160"/>
      <c r="C160"/>
      <c r="D160"/>
      <c r="E160"/>
      <c r="F160"/>
      <c r="G160"/>
      <c r="H160"/>
      <c r="I160"/>
      <c r="J160"/>
      <c r="K160"/>
      <c r="L160"/>
      <c r="M160"/>
      <c r="N160"/>
      <c r="O160"/>
      <c r="P160"/>
      <c r="Q160"/>
      <c r="R160"/>
    </row>
    <row r="161" spans="1:41" hidden="1" x14ac:dyDescent="0.2">
      <c r="A161"/>
      <c r="B161"/>
      <c r="C161"/>
      <c r="D161"/>
      <c r="E161"/>
      <c r="F161"/>
      <c r="G161"/>
      <c r="H161"/>
      <c r="I161"/>
      <c r="J161"/>
      <c r="K161"/>
      <c r="L161"/>
      <c r="M161"/>
      <c r="N161"/>
      <c r="O161"/>
      <c r="P161"/>
      <c r="Q161"/>
      <c r="R161"/>
      <c r="U161" s="180" t="s">
        <v>152</v>
      </c>
      <c r="V161" s="225">
        <f>VLOOKUP(G38,$AC$105:$AD$130,2,FALSE)</f>
        <v>0</v>
      </c>
    </row>
    <row r="162" spans="1:41" hidden="1" x14ac:dyDescent="0.2">
      <c r="A162"/>
      <c r="B162"/>
      <c r="C162"/>
      <c r="D162"/>
      <c r="E162"/>
      <c r="F162"/>
      <c r="G162"/>
      <c r="H162"/>
      <c r="I162"/>
      <c r="J162"/>
      <c r="K162"/>
      <c r="L162"/>
      <c r="M162"/>
      <c r="N162"/>
      <c r="O162"/>
      <c r="P162"/>
      <c r="Q162"/>
      <c r="R162"/>
      <c r="U162" s="180" t="s">
        <v>153</v>
      </c>
      <c r="V162" s="225">
        <f>VLOOKUP(G40,$AC$105:$AD$130,2,FALSE)</f>
        <v>0</v>
      </c>
    </row>
    <row r="163" spans="1:41" hidden="1" x14ac:dyDescent="0.2">
      <c r="A163"/>
      <c r="B163"/>
      <c r="C163"/>
      <c r="D163"/>
      <c r="E163"/>
      <c r="F163"/>
      <c r="G163"/>
      <c r="H163"/>
      <c r="I163"/>
      <c r="J163"/>
      <c r="K163"/>
      <c r="L163"/>
      <c r="M163"/>
      <c r="N163"/>
      <c r="O163"/>
      <c r="P163"/>
      <c r="Q163"/>
      <c r="R163"/>
      <c r="U163" s="180" t="s">
        <v>154</v>
      </c>
      <c r="V163" s="225">
        <f>VLOOKUP(G42,$AC$105:$AD$130,2,FALSE)</f>
        <v>0</v>
      </c>
    </row>
    <row r="164" spans="1:41" hidden="1" x14ac:dyDescent="0.2">
      <c r="A164"/>
      <c r="B164"/>
      <c r="C164"/>
      <c r="D164"/>
      <c r="E164"/>
      <c r="F164"/>
      <c r="G164"/>
      <c r="H164"/>
      <c r="I164"/>
      <c r="J164"/>
      <c r="K164"/>
      <c r="L164"/>
      <c r="M164"/>
      <c r="N164"/>
      <c r="O164"/>
      <c r="P164"/>
      <c r="Q164"/>
      <c r="R164"/>
      <c r="U164" s="180" t="s">
        <v>155</v>
      </c>
      <c r="V164" s="225">
        <f>VLOOKUP(G44,$AC$105:$AD$130,2,FALSE)</f>
        <v>0</v>
      </c>
    </row>
    <row r="165" spans="1:41" hidden="1" x14ac:dyDescent="0.2">
      <c r="A165"/>
      <c r="B165"/>
      <c r="C165"/>
      <c r="D165"/>
      <c r="E165"/>
      <c r="F165"/>
      <c r="G165"/>
      <c r="H165"/>
      <c r="I165"/>
      <c r="J165"/>
      <c r="K165"/>
      <c r="L165"/>
      <c r="M165"/>
      <c r="N165"/>
      <c r="O165"/>
      <c r="P165"/>
      <c r="Q165"/>
      <c r="R165"/>
      <c r="U165" s="180" t="s">
        <v>156</v>
      </c>
      <c r="V165" s="225">
        <f>IF($G38=$AC$105,0,IF(ISBLANK($G38),0,N38*V161))</f>
        <v>0</v>
      </c>
    </row>
    <row r="166" spans="1:41" hidden="1" x14ac:dyDescent="0.2">
      <c r="A166"/>
      <c r="B166"/>
      <c r="C166"/>
      <c r="D166"/>
      <c r="E166"/>
      <c r="F166"/>
      <c r="G166"/>
      <c r="H166"/>
      <c r="I166"/>
      <c r="J166"/>
      <c r="K166"/>
      <c r="L166"/>
      <c r="M166"/>
      <c r="N166"/>
      <c r="O166"/>
      <c r="P166"/>
      <c r="Q166"/>
      <c r="R166"/>
      <c r="U166" s="180" t="s">
        <v>157</v>
      </c>
      <c r="V166" s="225">
        <f>IF(G40=$AC$105,0,IF(ISBLANK(G40),0,N40*V162))</f>
        <v>0</v>
      </c>
    </row>
    <row r="167" spans="1:41" hidden="1" x14ac:dyDescent="0.2">
      <c r="A167"/>
      <c r="B167"/>
      <c r="C167"/>
      <c r="D167"/>
      <c r="E167"/>
      <c r="F167"/>
      <c r="G167"/>
      <c r="H167"/>
      <c r="I167"/>
      <c r="J167"/>
      <c r="K167"/>
      <c r="L167"/>
      <c r="M167"/>
      <c r="N167"/>
      <c r="O167"/>
      <c r="P167"/>
      <c r="Q167"/>
      <c r="R167"/>
      <c r="U167" s="180" t="s">
        <v>158</v>
      </c>
      <c r="V167" s="225">
        <f>IF(G42=$AC$105,0,IF(ISBLANK(G42),0,N42*V163))</f>
        <v>0</v>
      </c>
    </row>
    <row r="168" spans="1:41" ht="13.5" hidden="1" thickBot="1" x14ac:dyDescent="0.25">
      <c r="A168"/>
      <c r="B168"/>
      <c r="C168"/>
      <c r="D168"/>
      <c r="E168"/>
      <c r="F168"/>
      <c r="G168"/>
      <c r="H168"/>
      <c r="I168"/>
      <c r="J168"/>
      <c r="K168"/>
      <c r="L168"/>
      <c r="M168"/>
      <c r="N168"/>
      <c r="O168"/>
      <c r="P168"/>
      <c r="Q168"/>
      <c r="R168"/>
      <c r="U168" s="180" t="s">
        <v>159</v>
      </c>
      <c r="V168" s="225">
        <f>IF(G44=$AC$105,0,IF(ISBLANK(G44),0,N44*V164))</f>
        <v>0</v>
      </c>
    </row>
    <row r="169" spans="1:41" ht="16.5" hidden="1" thickTop="1" thickBot="1" x14ac:dyDescent="0.3">
      <c r="A169"/>
      <c r="B169"/>
      <c r="C169"/>
      <c r="D169"/>
      <c r="E169"/>
      <c r="F169"/>
      <c r="G169"/>
      <c r="H169"/>
      <c r="I169"/>
      <c r="J169"/>
      <c r="K169"/>
      <c r="L169"/>
      <c r="M169"/>
      <c r="N169"/>
      <c r="O169"/>
      <c r="P169"/>
      <c r="Q169"/>
      <c r="R169"/>
      <c r="U169" s="180" t="s">
        <v>160</v>
      </c>
      <c r="V169" s="224">
        <f>SUM(V165:V168)</f>
        <v>0</v>
      </c>
    </row>
    <row r="170" spans="1:41" ht="13.5" hidden="1" customHeight="1" thickTop="1" thickBot="1" x14ac:dyDescent="0.25">
      <c r="A170"/>
      <c r="B170"/>
      <c r="C170"/>
      <c r="D170"/>
      <c r="E170"/>
      <c r="F170"/>
      <c r="G170"/>
      <c r="H170"/>
      <c r="I170"/>
      <c r="J170"/>
      <c r="K170"/>
      <c r="L170"/>
      <c r="M170"/>
      <c r="N170"/>
      <c r="O170"/>
      <c r="P170"/>
      <c r="Q170"/>
      <c r="R170"/>
      <c r="AO170" s="1"/>
    </row>
    <row r="171" spans="1:41" ht="13.5" hidden="1" customHeight="1" thickTop="1" thickBot="1" x14ac:dyDescent="0.3">
      <c r="A171"/>
      <c r="B171"/>
      <c r="C171"/>
      <c r="D171"/>
      <c r="E171"/>
      <c r="F171"/>
      <c r="G171"/>
      <c r="H171"/>
      <c r="I171"/>
      <c r="J171"/>
      <c r="K171"/>
      <c r="L171"/>
      <c r="M171"/>
      <c r="N171"/>
      <c r="O171"/>
      <c r="P171"/>
      <c r="Q171"/>
      <c r="R171"/>
      <c r="U171" s="188" t="s">
        <v>186</v>
      </c>
      <c r="V171" s="35" t="s">
        <v>187</v>
      </c>
      <c r="AO171" s="1"/>
    </row>
    <row r="172" spans="1:41" ht="13.5" hidden="1" customHeight="1" thickTop="1" thickBot="1" x14ac:dyDescent="0.3">
      <c r="A172"/>
      <c r="B172"/>
      <c r="C172"/>
      <c r="D172"/>
      <c r="E172"/>
      <c r="F172"/>
      <c r="G172"/>
      <c r="H172"/>
      <c r="I172"/>
      <c r="J172"/>
      <c r="K172"/>
      <c r="L172"/>
      <c r="M172"/>
      <c r="N172"/>
      <c r="O172"/>
      <c r="P172"/>
      <c r="Q172"/>
      <c r="R172"/>
      <c r="U172" s="193"/>
      <c r="V172" s="35" t="s">
        <v>188</v>
      </c>
      <c r="AO172" s="1"/>
    </row>
    <row r="173" spans="1:41" ht="13.5" hidden="1" customHeight="1" thickTop="1" x14ac:dyDescent="0.2">
      <c r="A173"/>
      <c r="B173"/>
      <c r="C173"/>
      <c r="D173"/>
      <c r="E173"/>
      <c r="F173"/>
      <c r="G173"/>
      <c r="H173"/>
      <c r="I173"/>
      <c r="J173"/>
      <c r="K173"/>
      <c r="L173"/>
      <c r="M173"/>
      <c r="N173"/>
      <c r="O173"/>
      <c r="P173"/>
      <c r="Q173"/>
      <c r="R173"/>
      <c r="AO173" s="1"/>
    </row>
    <row r="174" spans="1:41" ht="13.5" hidden="1" customHeight="1" x14ac:dyDescent="0.2">
      <c r="A174"/>
      <c r="B174"/>
      <c r="C174"/>
      <c r="D174"/>
      <c r="E174"/>
      <c r="F174"/>
      <c r="G174"/>
      <c r="H174"/>
      <c r="I174"/>
      <c r="J174"/>
      <c r="K174"/>
      <c r="L174"/>
      <c r="M174"/>
      <c r="N174"/>
      <c r="O174"/>
      <c r="P174"/>
      <c r="Q174"/>
      <c r="R174"/>
      <c r="AO174" s="1"/>
    </row>
    <row r="175" spans="1:41" ht="13.5" hidden="1" customHeight="1" x14ac:dyDescent="0.2">
      <c r="A175"/>
      <c r="B175"/>
      <c r="C175"/>
      <c r="D175"/>
      <c r="E175"/>
      <c r="F175"/>
      <c r="G175"/>
      <c r="H175"/>
      <c r="I175"/>
      <c r="J175"/>
      <c r="K175"/>
      <c r="L175"/>
      <c r="M175"/>
      <c r="N175"/>
      <c r="O175"/>
      <c r="P175"/>
      <c r="Q175"/>
      <c r="R175"/>
      <c r="AO175" s="1"/>
    </row>
    <row r="176" spans="1:41" ht="13.5" hidden="1" customHeight="1" x14ac:dyDescent="0.2">
      <c r="A176"/>
      <c r="B176"/>
      <c r="C176"/>
      <c r="D176"/>
      <c r="E176"/>
      <c r="F176"/>
      <c r="G176"/>
      <c r="H176"/>
      <c r="I176"/>
      <c r="J176"/>
      <c r="K176"/>
      <c r="L176"/>
      <c r="M176"/>
      <c r="N176"/>
      <c r="O176"/>
      <c r="P176"/>
      <c r="Q176"/>
      <c r="R176"/>
      <c r="AO176" s="1"/>
    </row>
    <row r="177" spans="1:41" hidden="1" x14ac:dyDescent="0.2">
      <c r="A177"/>
      <c r="B177"/>
      <c r="C177"/>
      <c r="D177"/>
      <c r="E177"/>
      <c r="F177"/>
      <c r="G177"/>
      <c r="H177"/>
      <c r="I177"/>
      <c r="J177"/>
      <c r="K177"/>
      <c r="L177"/>
      <c r="M177"/>
      <c r="N177"/>
      <c r="O177"/>
      <c r="P177"/>
      <c r="Q177"/>
      <c r="R177"/>
      <c r="AO177" s="1"/>
    </row>
    <row r="178" spans="1:41" hidden="1" x14ac:dyDescent="0.2">
      <c r="A178"/>
      <c r="B178"/>
      <c r="C178"/>
      <c r="D178"/>
      <c r="E178"/>
      <c r="F178"/>
      <c r="G178"/>
      <c r="H178"/>
      <c r="I178"/>
      <c r="J178"/>
      <c r="K178"/>
      <c r="L178"/>
      <c r="M178"/>
      <c r="N178"/>
      <c r="O178"/>
      <c r="P178"/>
      <c r="Q178"/>
      <c r="R178"/>
      <c r="AO178" s="1"/>
    </row>
    <row r="179" spans="1:41" hidden="1" x14ac:dyDescent="0.2"/>
    <row r="180" spans="1:41" hidden="1" x14ac:dyDescent="0.2"/>
  </sheetData>
  <sheetProtection algorithmName="SHA-512" hashValue="bm8AdyElP8Y/z2MkR0If4QpzsIfpYK9W3O7agpd7v/D9LOv2xT1F4SQW1L7lQHppbDdYepI9dZNd5WSMypbZFw==" saltValue="FBlszps2g7VaHOGiTAm7dg==" spinCount="100000" sheet="1" objects="1" scenarios="1" selectLockedCells="1"/>
  <dataConsolidate/>
  <mergeCells count="25">
    <mergeCell ref="K46:M46"/>
    <mergeCell ref="G11:N11"/>
    <mergeCell ref="E34:N34"/>
    <mergeCell ref="G38:L38"/>
    <mergeCell ref="G40:L40"/>
    <mergeCell ref="G42:L42"/>
    <mergeCell ref="G44:L44"/>
    <mergeCell ref="K15:N15"/>
    <mergeCell ref="E100:N100"/>
    <mergeCell ref="K48:M48"/>
    <mergeCell ref="K50:M50"/>
    <mergeCell ref="K52:M52"/>
    <mergeCell ref="K54:M54"/>
    <mergeCell ref="E87:N87"/>
    <mergeCell ref="E82:K82"/>
    <mergeCell ref="K56:M56"/>
    <mergeCell ref="K60:M60"/>
    <mergeCell ref="E58:N58"/>
    <mergeCell ref="E88:N88"/>
    <mergeCell ref="E72:L76"/>
    <mergeCell ref="C2:P2"/>
    <mergeCell ref="G13:N13"/>
    <mergeCell ref="G9:N9"/>
    <mergeCell ref="L3:P3"/>
    <mergeCell ref="C5:L6"/>
  </mergeCells>
  <phoneticPr fontId="2" type="noConversion"/>
  <conditionalFormatting sqref="G30">
    <cfRule type="expression" dxfId="9" priority="4" stopIfTrue="1">
      <formula>$G$28=$V$107</formula>
    </cfRule>
  </conditionalFormatting>
  <conditionalFormatting sqref="K91">
    <cfRule type="expression" dxfId="8" priority="3">
      <formula>ISBLANK($N$91)</formula>
    </cfRule>
  </conditionalFormatting>
  <conditionalFormatting sqref="N97">
    <cfRule type="expression" dxfId="7" priority="2">
      <formula>$G$28=$V$106</formula>
    </cfRule>
  </conditionalFormatting>
  <conditionalFormatting sqref="K97">
    <cfRule type="expression" dxfId="6" priority="1">
      <formula>ISBLANK($N$97)</formula>
    </cfRule>
  </conditionalFormatting>
  <conditionalFormatting sqref="K15:N15">
    <cfRule type="expression" dxfId="5" priority="11" stopIfTrue="1">
      <formula>($G$15=$X$110)</formula>
    </cfRule>
    <cfRule type="expression" dxfId="4" priority="12" stopIfTrue="1">
      <formula>($G$15=$X$109)</formula>
    </cfRule>
    <cfRule type="expression" dxfId="3" priority="13" stopIfTrue="1">
      <formula>($G$15=$X$108)</formula>
    </cfRule>
    <cfRule type="expression" dxfId="2" priority="14" stopIfTrue="1">
      <formula>($G$15=#REF!)</formula>
    </cfRule>
    <cfRule type="expression" dxfId="1" priority="15" stopIfTrue="1">
      <formula>($G$15=#REF!)</formula>
    </cfRule>
    <cfRule type="expression" dxfId="0" priority="16" stopIfTrue="1">
      <formula>($G$15=$X$107)</formula>
    </cfRule>
  </conditionalFormatting>
  <dataValidations count="17">
    <dataValidation type="decimal" operator="greaterThanOrEqual" allowBlank="1" showInputMessage="1" showErrorMessage="1" errorTitle="Minimum Investment Amount" error="You must enter a value of at least the Minimum Aggregated Investment Amount as specified in the appropriate Investment Mandate." sqref="G26">
      <formula1>V144</formula1>
    </dataValidation>
    <dataValidation type="decimal" operator="lessThanOrEqual" allowBlank="1" showInputMessage="1" showErrorMessage="1" errorTitle="Maximum Ongoing Adviser Charge" error="Please enter a value up to the Maximum Ongoing Adviser Charge agreed for your firm." sqref="K93">
      <formula1>V147</formula1>
    </dataValidation>
    <dataValidation type="list" allowBlank="1" showInputMessage="1" showErrorMessage="1" errorTitle="Re-invest Income" error="Please select 'Yes' or 'No'." sqref="N67">
      <formula1>$V$113:$V$114</formula1>
    </dataValidation>
    <dataValidation type="list" allowBlank="1" showInputMessage="1" showErrorMessage="1" sqref="N22 N26">
      <formula1>$V$113:$V$114</formula1>
    </dataValidation>
    <dataValidation type="list" allowBlank="1" showInputMessage="1" showErrorMessage="1" errorTitle="Discretionary Manager" error="Please select which Discretionary Manager's models you would like to prepare an illustration for." sqref="E60 E56 E48 E46 E50 E52 E54">
      <formula1>$Z$105:$Z$110</formula1>
    </dataValidation>
    <dataValidation type="list" allowBlank="1" showInputMessage="1" showErrorMessage="1" errorTitle="Investment Type" error="Please select whether this is a Regualr Payment or Withdrawal." sqref="G28">
      <formula1>$V$105:$V$107</formula1>
    </dataValidation>
    <dataValidation type="list" allowBlank="1" showInputMessage="1" showErrorMessage="1" errorTitle="Investment Type" error="Please select whether this is an Initial or Additional Investment." sqref="G22">
      <formula1>$V$109:$V$111</formula1>
    </dataValidation>
    <dataValidation type="list" allowBlank="1" showInputMessage="1" showErrorMessage="1" sqref="G24">
      <formula1>$V$121:$V$123</formula1>
    </dataValidation>
    <dataValidation type="list" allowBlank="1" showInputMessage="1" showErrorMessage="1" errorTitle="Discretionary Manager" error="Please select which Discretionary Manager's models you would like to prepare an illustration for." sqref="E38 E40 E42 E44">
      <formula1>$Z$105:$Z$107</formula1>
    </dataValidation>
    <dataValidation type="decimal" operator="greaterThanOrEqual" allowBlank="1" showErrorMessage="1" errorTitle="Minimum Regular Amount" error="You must enter a value of at least the Minimum Regular Amount as specified in the appropriate Investment Mandate." sqref="N28:N29">
      <formula1>V143</formula1>
    </dataValidation>
    <dataValidation type="decimal" operator="greaterThanOrEqual" allowBlank="1" showErrorMessage="1" errorTitle="Minimum Regular Amount" error="You must enter a value of at least the Minimum Regular Amount as specified in the appropriate Investment Mandate." sqref="N30">
      <formula1>V144</formula1>
    </dataValidation>
    <dataValidation type="list" allowBlank="1" showInputMessage="1" showErrorMessage="1" sqref="G30">
      <formula1>$X$115:$X$118</formula1>
    </dataValidation>
    <dataValidation type="list" allowBlank="1" showInputMessage="1" showErrorMessage="1" sqref="N91 N97">
      <formula1>$V$171:$V$172</formula1>
    </dataValidation>
    <dataValidation type="list" allowBlank="1" showInputMessage="1" showErrorMessage="1" errorTitle="Please select from dropdown list" sqref="G15">
      <formula1>$X$105</formula1>
    </dataValidation>
    <dataValidation type="list" allowBlank="1" showInputMessage="1" showErrorMessage="1" sqref="G50 G52 G56 G54 G48 G46">
      <formula1>$AC$105:$AC$117</formula1>
    </dataValidation>
    <dataValidation type="list" allowBlank="1" showInputMessage="1" showErrorMessage="1" sqref="G44:L44">
      <formula1>$AC$105:$AC$112</formula1>
    </dataValidation>
    <dataValidation type="list" allowBlank="1" showInputMessage="1" showErrorMessage="1" sqref="G38:L38 G40:L40 G42:L42">
      <formula1>$AC$105:$AC$112</formula1>
    </dataValidation>
  </dataValidations>
  <printOptions horizontalCentered="1"/>
  <pageMargins left="0.43307086614173229" right="0.47244094488188981" top="0.51181102362204722" bottom="0.47" header="0.51181102362204722" footer="0.43"/>
  <pageSetup scale="75" orientation="portrait" r:id="rId1"/>
  <headerFooter alignWithMargins="0"/>
  <colBreaks count="1" manualBreakCount="1">
    <brk id="2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0"/>
  <sheetViews>
    <sheetView showGridLines="0" showRowColHeaders="0" zoomScale="115" zoomScaleNormal="115" workbookViewId="0">
      <selection activeCell="C2" sqref="C2"/>
    </sheetView>
  </sheetViews>
  <sheetFormatPr defaultColWidth="0" defaultRowHeight="12.75" zeroHeight="1" x14ac:dyDescent="0.2"/>
  <cols>
    <col min="1" max="1" width="30.7109375" customWidth="1"/>
    <col min="2" max="2" width="5.7109375" style="1" customWidth="1"/>
    <col min="3" max="3" width="16.140625" style="1" customWidth="1"/>
    <col min="4" max="4" width="15" style="1" customWidth="1"/>
    <col min="5" max="40" width="2.140625" style="1" customWidth="1"/>
    <col min="41" max="41" width="5.7109375" style="1" customWidth="1"/>
    <col min="42" max="42" width="30.7109375" customWidth="1"/>
  </cols>
  <sheetData>
    <row r="1" spans="1:42" ht="30" customHeight="1" thickBot="1" x14ac:dyDescent="0.25">
      <c r="A1" s="59"/>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59"/>
    </row>
    <row r="2" spans="1:42" ht="48" customHeight="1" thickTop="1" thickBot="1" x14ac:dyDescent="0.25">
      <c r="A2" s="338"/>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337"/>
    </row>
    <row r="3" spans="1:42" ht="42.75" customHeight="1" x14ac:dyDescent="0.2">
      <c r="A3" s="338"/>
      <c r="B3" s="60"/>
      <c r="C3" s="425" t="str">
        <f>'Illustration Data Entry'!C2:P2</f>
        <v>iGuard</v>
      </c>
      <c r="D3" s="426"/>
      <c r="E3" s="427"/>
      <c r="F3" s="427"/>
      <c r="G3" s="427"/>
      <c r="H3" s="427"/>
      <c r="I3" s="427"/>
      <c r="J3" s="427"/>
      <c r="K3" s="427"/>
      <c r="L3" s="427"/>
      <c r="M3" s="427"/>
      <c r="N3" s="427"/>
      <c r="O3" s="427"/>
      <c r="P3" s="427"/>
      <c r="Q3" s="427"/>
      <c r="R3" s="427"/>
      <c r="S3" s="427"/>
      <c r="T3" s="427"/>
      <c r="U3" s="427"/>
      <c r="V3" s="427"/>
      <c r="W3" s="427"/>
      <c r="X3" s="427"/>
      <c r="Y3" s="427"/>
      <c r="Z3" s="427"/>
      <c r="AA3" s="427"/>
      <c r="AB3" s="428"/>
      <c r="AC3" s="423" t="s">
        <v>78</v>
      </c>
      <c r="AD3" s="423"/>
      <c r="AE3" s="423"/>
      <c r="AF3" s="423"/>
      <c r="AG3" s="423"/>
      <c r="AH3" s="423"/>
      <c r="AI3" s="423"/>
      <c r="AJ3" s="423"/>
      <c r="AK3" s="423"/>
      <c r="AL3" s="423"/>
      <c r="AM3" s="423"/>
      <c r="AN3" s="424"/>
      <c r="AO3" s="60"/>
      <c r="AP3" s="337"/>
    </row>
    <row r="4" spans="1:42" ht="18" customHeight="1" thickBot="1" x14ac:dyDescent="0.25">
      <c r="A4" s="338"/>
      <c r="B4" s="60"/>
      <c r="C4" s="429" t="s">
        <v>147</v>
      </c>
      <c r="D4" s="430"/>
      <c r="E4" s="430"/>
      <c r="F4" s="430"/>
      <c r="G4" s="430"/>
      <c r="H4" s="430"/>
      <c r="I4" s="430"/>
      <c r="J4" s="430"/>
      <c r="K4" s="430"/>
      <c r="L4" s="430"/>
      <c r="M4" s="430"/>
      <c r="N4" s="430"/>
      <c r="O4" s="430"/>
      <c r="P4" s="430"/>
      <c r="Q4" s="430"/>
      <c r="R4" s="430"/>
      <c r="S4" s="430"/>
      <c r="T4" s="430"/>
      <c r="U4" s="430"/>
      <c r="V4" s="430"/>
      <c r="W4" s="430"/>
      <c r="X4" s="430"/>
      <c r="Y4" s="430"/>
      <c r="Z4" s="430"/>
      <c r="AA4" s="430"/>
      <c r="AB4" s="431"/>
      <c r="AC4" s="433" t="s">
        <v>75</v>
      </c>
      <c r="AD4" s="433"/>
      <c r="AE4" s="433"/>
      <c r="AF4" s="433"/>
      <c r="AG4" s="433"/>
      <c r="AH4" s="433"/>
      <c r="AI4" s="434">
        <f ca="1">TODAY()</f>
        <v>42033</v>
      </c>
      <c r="AJ4" s="434"/>
      <c r="AK4" s="434"/>
      <c r="AL4" s="434"/>
      <c r="AM4" s="434"/>
      <c r="AN4" s="435"/>
      <c r="AO4" s="60"/>
      <c r="AP4" s="337"/>
    </row>
    <row r="5" spans="1:42" ht="7.5" customHeight="1" x14ac:dyDescent="0.2">
      <c r="A5" s="338"/>
      <c r="B5" s="60"/>
      <c r="C5" s="374"/>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6"/>
      <c r="AO5" s="60"/>
      <c r="AP5" s="337"/>
    </row>
    <row r="6" spans="1:42" x14ac:dyDescent="0.2">
      <c r="A6" s="338"/>
      <c r="B6" s="60"/>
      <c r="C6" s="385" t="s">
        <v>69</v>
      </c>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7"/>
      <c r="AO6" s="60"/>
      <c r="AP6" s="337"/>
    </row>
    <row r="7" spans="1:42" ht="15" customHeight="1" thickBot="1" x14ac:dyDescent="0.25">
      <c r="A7" s="338"/>
      <c r="B7" s="60"/>
      <c r="C7" s="388" t="s">
        <v>76</v>
      </c>
      <c r="D7" s="389"/>
      <c r="E7" s="390" t="str">
        <f>IF(ISBLANK('Illustration Data Entry'!G13),"-",'Illustration Data Entry'!G13)</f>
        <v>-</v>
      </c>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1"/>
      <c r="AO7" s="60"/>
      <c r="AP7" s="337"/>
    </row>
    <row r="8" spans="1:42" ht="15" customHeight="1" thickBot="1" x14ac:dyDescent="0.25">
      <c r="A8" s="338"/>
      <c r="B8" s="60"/>
      <c r="C8" s="407" t="s">
        <v>145</v>
      </c>
      <c r="D8" s="408"/>
      <c r="E8" s="392" t="str">
        <f>IF(ISBLANK('Illustration Data Entry'!G11),"-",'Illustration Data Entry'!G11)</f>
        <v>-</v>
      </c>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3"/>
      <c r="AO8" s="60"/>
      <c r="AP8" s="337"/>
    </row>
    <row r="9" spans="1:42" ht="15" customHeight="1" thickBot="1" x14ac:dyDescent="0.25">
      <c r="A9" s="338"/>
      <c r="B9" s="60"/>
      <c r="C9" s="394" t="s">
        <v>161</v>
      </c>
      <c r="D9" s="382"/>
      <c r="E9" s="395" t="str">
        <f>IF(ISBLANK('Illustration Data Entry'!G9),"-",'Illustration Data Entry'!G9)</f>
        <v>-</v>
      </c>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6"/>
      <c r="AO9" s="60"/>
      <c r="AP9" s="337"/>
    </row>
    <row r="10" spans="1:42" ht="15" customHeight="1" thickBot="1" x14ac:dyDescent="0.25">
      <c r="A10" s="338"/>
      <c r="B10" s="60"/>
      <c r="C10" s="409" t="str">
        <f>'Illustration Data Entry'!E26</f>
        <v>Lump Sum Investment Amount</v>
      </c>
      <c r="D10" s="410"/>
      <c r="E10" s="412" t="str">
        <f>IF(ISBLANK('Illustration Data Entry'!G26),"-",('Illustration Data Entry'!V124))</f>
        <v>-</v>
      </c>
      <c r="F10" s="413"/>
      <c r="G10" s="413"/>
      <c r="H10" s="413" t="str">
        <f>IF(ISBLANK('Illustration Data Entry'!G26)," ",'Illustration Data Entry'!G26)</f>
        <v xml:space="preserve"> </v>
      </c>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4"/>
      <c r="AO10" s="60"/>
      <c r="AP10" s="337"/>
    </row>
    <row r="11" spans="1:42" ht="15" customHeight="1" thickBot="1" x14ac:dyDescent="0.25">
      <c r="A11" s="338"/>
      <c r="B11" s="60"/>
      <c r="C11" s="411" t="str">
        <f>IF('Illustration Data Entry'!G28='Illustration Data Entry'!V107,'Illustration Data Entry'!V107,'Illustration Data Entry'!V106)</f>
        <v>Regular Investment</v>
      </c>
      <c r="D11" s="381"/>
      <c r="E11" s="415" t="str">
        <f>IF(ISBLANK('Illustration Data Entry'!N28),"-",'Illustration Data Entry'!V124)</f>
        <v>-</v>
      </c>
      <c r="F11" s="383"/>
      <c r="G11" s="383"/>
      <c r="H11" s="383" t="str">
        <f>IF(ISBLANK('Illustration Data Entry'!N28)," ",'Illustration Data Entry'!N28)</f>
        <v xml:space="preserve"> </v>
      </c>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4"/>
      <c r="AO11" s="60"/>
      <c r="AP11" s="337"/>
    </row>
    <row r="12" spans="1:42" ht="15" customHeight="1" thickBot="1" x14ac:dyDescent="0.25">
      <c r="A12" s="338"/>
      <c r="B12" s="60"/>
      <c r="C12" s="407" t="s">
        <v>139</v>
      </c>
      <c r="D12" s="408"/>
      <c r="E12" s="399" t="str">
        <f>IF('Illustration Data Entry'!G26="","-",
IF(ISBLANK('Illustration Data Entry'!G15),"GIA",
IF('Illustration Data Entry'!G15="None","-",'Illustration Data Entry'!G15)))</f>
        <v>-</v>
      </c>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1"/>
      <c r="AO12" s="60"/>
      <c r="AP12" s="337"/>
    </row>
    <row r="13" spans="1:42" ht="15" customHeight="1" x14ac:dyDescent="0.2">
      <c r="A13" s="338"/>
      <c r="B13" s="60"/>
      <c r="C13" s="436" t="s">
        <v>138</v>
      </c>
      <c r="D13" s="437"/>
      <c r="E13" s="402" t="str">
        <f>IF('Illustration Data Entry'!G26="","-",
IF(ISBLANK('Illustration Data Entry'!G15),"Præmium International Ltd",
IF('Illustration Data Entry'!G15='Illustration Data Entry'!X105,"Præmium International Ltd",
IF('Illustration Data Entry'!G15='Illustration Data Entry'!X106,"SMARTfund Administration Ltd",
IF(ISBLANK('Illustration Data Entry'!K15),"-",'Illustration Data Entry'!K15)))))</f>
        <v>-</v>
      </c>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4"/>
      <c r="AO13" s="60"/>
      <c r="AP13" s="337"/>
    </row>
    <row r="14" spans="1:42" ht="18.75" customHeight="1" x14ac:dyDescent="0.2">
      <c r="A14" s="338"/>
      <c r="B14" s="60"/>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60"/>
      <c r="AP14" s="337"/>
    </row>
    <row r="15" spans="1:42" ht="13.5" thickBot="1" x14ac:dyDescent="0.25">
      <c r="A15" s="338"/>
      <c r="B15" s="60"/>
      <c r="C15" s="481" t="s">
        <v>81</v>
      </c>
      <c r="D15" s="482"/>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4"/>
      <c r="AO15" s="60"/>
      <c r="AP15" s="337"/>
    </row>
    <row r="16" spans="1:42" ht="28.5" customHeight="1" thickBot="1" x14ac:dyDescent="0.25">
      <c r="A16" s="338"/>
      <c r="B16" s="60"/>
      <c r="C16" s="394" t="str">
        <f>'Illustration Data Entry'!E35</f>
        <v>Investment Manager</v>
      </c>
      <c r="D16" s="382"/>
      <c r="E16" s="548" t="str">
        <f>'Illustration Data Entry'!G35</f>
        <v>Investment Strategy</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416" t="s">
        <v>130</v>
      </c>
      <c r="AD16" s="416"/>
      <c r="AE16" s="416"/>
      <c r="AF16" s="416"/>
      <c r="AG16" s="416"/>
      <c r="AH16" s="416"/>
      <c r="AI16" s="416" t="s">
        <v>20</v>
      </c>
      <c r="AJ16" s="416"/>
      <c r="AK16" s="416"/>
      <c r="AL16" s="416"/>
      <c r="AM16" s="416"/>
      <c r="AN16" s="474"/>
      <c r="AO16" s="60"/>
      <c r="AP16" s="337"/>
    </row>
    <row r="17" spans="1:42" ht="9.75" customHeight="1" thickBot="1" x14ac:dyDescent="0.25">
      <c r="A17" s="338"/>
      <c r="B17" s="60"/>
      <c r="C17" s="405"/>
      <c r="D17" s="406"/>
      <c r="E17" s="551"/>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417" t="s">
        <v>19</v>
      </c>
      <c r="AD17" s="417"/>
      <c r="AE17" s="417"/>
      <c r="AF17" s="417"/>
      <c r="AG17" s="417"/>
      <c r="AH17" s="417"/>
      <c r="AI17" s="417" t="s">
        <v>19</v>
      </c>
      <c r="AJ17" s="417"/>
      <c r="AK17" s="417"/>
      <c r="AL17" s="417"/>
      <c r="AM17" s="417"/>
      <c r="AN17" s="453"/>
      <c r="AO17" s="60"/>
      <c r="AP17" s="337"/>
    </row>
    <row r="18" spans="1:42" ht="15" customHeight="1" thickBot="1" x14ac:dyDescent="0.25">
      <c r="A18" s="338"/>
      <c r="B18" s="60"/>
      <c r="C18" s="394" t="str">
        <f>IF('Illustration Data Entry'!G38='Illustration Data Entry'!AC105," - ",IF(ISBLANK('Illustration Data Entry'!G38)," - ",'Illustration Data Entry'!E38))</f>
        <v xml:space="preserve"> - </v>
      </c>
      <c r="D18" s="382"/>
      <c r="E18" s="548" t="str">
        <f>IF('Illustration Data Entry'!G38='Illustration Data Entry'!AC105," - ",IF(ISBLANK('Illustration Data Entry'!G38)," - ",'Illustration Data Entry'!G38))</f>
        <v xml:space="preserve"> - </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418" t="str">
        <f>IF('Illustration Data Entry'!G38='Illustration Data Entry'!AC105,"- ",IF(ISBLANK('Illustration Data Entry'!G38)," - ",'Illustration Data Entry'!N38))</f>
        <v xml:space="preserve">- </v>
      </c>
      <c r="AD18" s="418"/>
      <c r="AE18" s="418"/>
      <c r="AF18" s="418"/>
      <c r="AG18" s="418"/>
      <c r="AH18" s="418"/>
      <c r="AI18" s="541" t="str">
        <f>IF('Illustration Data Entry'!G38='Illustration Data Entry'!AC105," - ",IF(ISBLANK('Illustration Data Entry'!G38)," - ",VLOOKUP(E18,'Illustration Data Entry'!AC104:AD130,2,FALSE)))</f>
        <v xml:space="preserve"> - </v>
      </c>
      <c r="AJ18" s="541"/>
      <c r="AK18" s="541"/>
      <c r="AL18" s="541"/>
      <c r="AM18" s="541"/>
      <c r="AN18" s="542"/>
      <c r="AO18" s="60"/>
      <c r="AP18" s="337"/>
    </row>
    <row r="19" spans="1:42" ht="15" customHeight="1" thickBot="1" x14ac:dyDescent="0.25">
      <c r="A19" s="338"/>
      <c r="B19" s="60"/>
      <c r="C19" s="407" t="str">
        <f>IF('Illustration Data Entry'!G40='Illustration Data Entry'!AC105," - ",IF(ISBLANK('Illustration Data Entry'!G40)," - ",'Illustration Data Entry'!E40))</f>
        <v xml:space="preserve"> - </v>
      </c>
      <c r="D19" s="408"/>
      <c r="E19" s="547" t="str">
        <f>IF('Illustration Data Entry'!G40='Illustration Data Entry'!AC105," - ",IF(ISBLANK('Illustration Data Entry'!G40)," - ",'Illustration Data Entry'!G40))</f>
        <v xml:space="preserve"> - </v>
      </c>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9" t="str">
        <f>IF('Illustration Data Entry'!G40='Illustration Data Entry'!AC105,"- ",IF(ISBLANK('Illustration Data Entry'!G40)," - ",'Illustration Data Entry'!N40))</f>
        <v xml:space="preserve">- </v>
      </c>
      <c r="AD19" s="419"/>
      <c r="AE19" s="419"/>
      <c r="AF19" s="419"/>
      <c r="AG19" s="419"/>
      <c r="AH19" s="419"/>
      <c r="AI19" s="543" t="str">
        <f>IF('Illustration Data Entry'!G40='Illustration Data Entry'!AC105," - ",IF(ISBLANK('Illustration Data Entry'!G40)," - ",VLOOKUP(E19,'Illustration Data Entry'!AC104:AD130,2,FALSE)))</f>
        <v xml:space="preserve"> - </v>
      </c>
      <c r="AJ19" s="543"/>
      <c r="AK19" s="543"/>
      <c r="AL19" s="543"/>
      <c r="AM19" s="543"/>
      <c r="AN19" s="544"/>
      <c r="AO19" s="60"/>
      <c r="AP19" s="337"/>
    </row>
    <row r="20" spans="1:42" ht="15" customHeight="1" thickBot="1" x14ac:dyDescent="0.25">
      <c r="A20" s="338"/>
      <c r="B20" s="60"/>
      <c r="C20" s="394" t="str">
        <f>IF('Illustration Data Entry'!G42='Illustration Data Entry'!AC105," - ",IF(ISBLANK('Illustration Data Entry'!G42)," - ",'Illustration Data Entry'!E42))</f>
        <v xml:space="preserve"> - </v>
      </c>
      <c r="D20" s="382"/>
      <c r="E20" s="548" t="str">
        <f>IF('Illustration Data Entry'!G42='Illustration Data Entry'!AC105," - ",IF(ISBLANK('Illustration Data Entry'!G42)," - ",'Illustration Data Entry'!G42))</f>
        <v xml:space="preserve"> - </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418" t="str">
        <f>IF('Illustration Data Entry'!G42='Illustration Data Entry'!AC105,"- ",IF(ISBLANK('Illustration Data Entry'!G42)," - ",'Illustration Data Entry'!N42))</f>
        <v xml:space="preserve">- </v>
      </c>
      <c r="AD20" s="418"/>
      <c r="AE20" s="418"/>
      <c r="AF20" s="418"/>
      <c r="AG20" s="418"/>
      <c r="AH20" s="418"/>
      <c r="AI20" s="541" t="str">
        <f>IF('Illustration Data Entry'!G42='Illustration Data Entry'!AC105," - ",IF(ISBLANK('Illustration Data Entry'!G42)," - ",VLOOKUP(E20,'Illustration Data Entry'!AC104:AD130,2,FALSE)))</f>
        <v xml:space="preserve"> - </v>
      </c>
      <c r="AJ20" s="541"/>
      <c r="AK20" s="541"/>
      <c r="AL20" s="541"/>
      <c r="AM20" s="541"/>
      <c r="AN20" s="542"/>
      <c r="AO20" s="60"/>
      <c r="AP20" s="337"/>
    </row>
    <row r="21" spans="1:42" ht="15" customHeight="1" thickBot="1" x14ac:dyDescent="0.25">
      <c r="A21" s="338"/>
      <c r="B21" s="60"/>
      <c r="C21" s="397" t="str">
        <f>IF('Illustration Data Entry'!G44='Illustration Data Entry'!AC105," - ",IF(ISBLANK('Illustration Data Entry'!G44)," - ",'Illustration Data Entry'!E44))</f>
        <v xml:space="preserve"> - </v>
      </c>
      <c r="D21" s="398"/>
      <c r="E21" s="549" t="str">
        <f>IF('Illustration Data Entry'!G44='Illustration Data Entry'!AC105," - ",IF(ISBLANK('Illustration Data Entry'!G44)," - ",'Illustration Data Entry'!G44))</f>
        <v xml:space="preserve"> - </v>
      </c>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420" t="str">
        <f>IF('Illustration Data Entry'!G44='Illustration Data Entry'!AC105,"- ",IF(ISBLANK('Illustration Data Entry'!G44)," - ",'Illustration Data Entry'!N44))</f>
        <v xml:space="preserve">- </v>
      </c>
      <c r="AD21" s="420"/>
      <c r="AE21" s="420"/>
      <c r="AF21" s="420"/>
      <c r="AG21" s="420"/>
      <c r="AH21" s="420"/>
      <c r="AI21" s="545" t="str">
        <f>IF('Illustration Data Entry'!G44='Illustration Data Entry'!AC105," - ",IF(ISBLANK('Illustration Data Entry'!G44)," - ",VLOOKUP(E21,'Illustration Data Entry'!AC104:AD130,2,FALSE)))</f>
        <v xml:space="preserve"> - </v>
      </c>
      <c r="AJ21" s="545"/>
      <c r="AK21" s="545"/>
      <c r="AL21" s="545"/>
      <c r="AM21" s="545"/>
      <c r="AN21" s="546"/>
      <c r="AO21" s="60"/>
      <c r="AP21" s="337"/>
    </row>
    <row r="22" spans="1:42" ht="15" hidden="1" customHeight="1" thickBot="1" x14ac:dyDescent="0.25">
      <c r="A22" s="338"/>
      <c r="B22" s="60"/>
      <c r="C22" s="553" t="str">
        <f>'Illustration Data Entry'!G46</f>
        <v xml:space="preserve"> - please select the strategy -</v>
      </c>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389"/>
      <c r="AG22" s="377" t="str">
        <f>IF(ISBLANK('Illustration Data Entry'!G26),"-",'Illustration Data Entry'!I46)</f>
        <v>-</v>
      </c>
      <c r="AH22" s="378"/>
      <c r="AI22" s="378"/>
      <c r="AJ22" s="378"/>
      <c r="AK22" s="378"/>
      <c r="AL22" s="378"/>
      <c r="AM22" s="378"/>
      <c r="AN22" s="379"/>
      <c r="AO22" s="60"/>
      <c r="AP22" s="337"/>
    </row>
    <row r="23" spans="1:42" ht="15" hidden="1" customHeight="1" thickBot="1" x14ac:dyDescent="0.25">
      <c r="A23" s="338"/>
      <c r="B23" s="60"/>
      <c r="C23" s="509" t="str">
        <f>'Illustration Data Entry'!G48</f>
        <v xml:space="preserve"> - please select the strategy -</v>
      </c>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08"/>
      <c r="AG23" s="517" t="str">
        <f>IF(ISBLANK('Illustration Data Entry'!G26),"-",'Illustration Data Entry'!I48)</f>
        <v>-</v>
      </c>
      <c r="AH23" s="518"/>
      <c r="AI23" s="518"/>
      <c r="AJ23" s="518"/>
      <c r="AK23" s="518"/>
      <c r="AL23" s="518"/>
      <c r="AM23" s="518"/>
      <c r="AN23" s="519"/>
      <c r="AO23" s="60"/>
      <c r="AP23" s="337"/>
    </row>
    <row r="24" spans="1:42" ht="15" hidden="1" customHeight="1" thickBot="1" x14ac:dyDescent="0.25">
      <c r="A24" s="338"/>
      <c r="B24" s="60"/>
      <c r="C24" s="380" t="str">
        <f>'Illustration Data Entry'!G50</f>
        <v xml:space="preserve"> - please select the strategy -</v>
      </c>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520" t="str">
        <f>IF(ISBLANK('Illustration Data Entry'!G26),"-",'Illustration Data Entry'!I50)</f>
        <v>-</v>
      </c>
      <c r="AH24" s="521"/>
      <c r="AI24" s="521"/>
      <c r="AJ24" s="521"/>
      <c r="AK24" s="521"/>
      <c r="AL24" s="521"/>
      <c r="AM24" s="521"/>
      <c r="AN24" s="522"/>
      <c r="AO24" s="60"/>
      <c r="AP24" s="337"/>
    </row>
    <row r="25" spans="1:42" ht="15" hidden="1" customHeight="1" thickBot="1" x14ac:dyDescent="0.25">
      <c r="A25" s="338"/>
      <c r="B25" s="60"/>
      <c r="C25" s="509" t="str">
        <f>'Illustration Data Entry'!G52</f>
        <v xml:space="preserve"> - please select the strategy -</v>
      </c>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08"/>
      <c r="AG25" s="523" t="str">
        <f>IF(ISBLANK('Illustration Data Entry'!G26),"-",'Illustration Data Entry'!I52)</f>
        <v>-</v>
      </c>
      <c r="AH25" s="524"/>
      <c r="AI25" s="524"/>
      <c r="AJ25" s="524"/>
      <c r="AK25" s="524"/>
      <c r="AL25" s="524"/>
      <c r="AM25" s="524"/>
      <c r="AN25" s="525"/>
      <c r="AO25" s="60"/>
      <c r="AP25" s="337"/>
    </row>
    <row r="26" spans="1:42" ht="15" hidden="1" customHeight="1" thickBot="1" x14ac:dyDescent="0.25">
      <c r="A26" s="338"/>
      <c r="B26" s="60"/>
      <c r="C26" s="380" t="str">
        <f>'Illustration Data Entry'!G54</f>
        <v xml:space="preserve"> - please select the strategy -</v>
      </c>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2"/>
      <c r="AG26" s="377" t="str">
        <f>IF(ISBLANK('Illustration Data Entry'!G26),"-",'Illustration Data Entry'!I54)</f>
        <v>-</v>
      </c>
      <c r="AH26" s="378"/>
      <c r="AI26" s="378"/>
      <c r="AJ26" s="378"/>
      <c r="AK26" s="378"/>
      <c r="AL26" s="378"/>
      <c r="AM26" s="378"/>
      <c r="AN26" s="379"/>
      <c r="AO26" s="60"/>
      <c r="AP26" s="337"/>
    </row>
    <row r="27" spans="1:42" ht="15" hidden="1" customHeight="1" thickBot="1" x14ac:dyDescent="0.25">
      <c r="A27" s="338"/>
      <c r="B27" s="60"/>
      <c r="C27" s="509" t="str">
        <f>'Illustration Data Entry'!G56</f>
        <v xml:space="preserve"> - please select the strategy -</v>
      </c>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08"/>
      <c r="AG27" s="517" t="str">
        <f>IF(ISBLANK('Illustration Data Entry'!G26),"-",'Illustration Data Entry'!I56)</f>
        <v>-</v>
      </c>
      <c r="AH27" s="518"/>
      <c r="AI27" s="518"/>
      <c r="AJ27" s="518"/>
      <c r="AK27" s="518"/>
      <c r="AL27" s="518"/>
      <c r="AM27" s="518"/>
      <c r="AN27" s="519"/>
      <c r="AO27" s="60"/>
      <c r="AP27" s="337"/>
    </row>
    <row r="28" spans="1:42" ht="15" hidden="1" customHeight="1" thickBot="1" x14ac:dyDescent="0.25">
      <c r="A28" s="338"/>
      <c r="B28" s="60"/>
      <c r="C28" s="510" t="str">
        <f>IF(ISBLANK('Illustration Data Entry'!G60),"      -",'Illustration Data Entry'!G60)</f>
        <v xml:space="preserve">      -</v>
      </c>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2"/>
      <c r="AG28" s="538" t="str">
        <f>IF(ISBLANK('Illustration Data Entry'!G60),"-",'Illustration Data Entry'!I60)</f>
        <v>-</v>
      </c>
      <c r="AH28" s="539"/>
      <c r="AI28" s="539"/>
      <c r="AJ28" s="539"/>
      <c r="AK28" s="539"/>
      <c r="AL28" s="539"/>
      <c r="AM28" s="539"/>
      <c r="AN28" s="540"/>
      <c r="AO28" s="60"/>
      <c r="AP28" s="337"/>
    </row>
    <row r="29" spans="1:42" ht="18.75" customHeight="1" x14ac:dyDescent="0.2">
      <c r="A29" s="338"/>
      <c r="B29" s="60"/>
      <c r="C29" s="345"/>
      <c r="D29" s="345"/>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7"/>
      <c r="AO29" s="60"/>
      <c r="AP29" s="337"/>
    </row>
    <row r="30" spans="1:42" ht="13.5" thickBot="1" x14ac:dyDescent="0.25">
      <c r="A30" s="338"/>
      <c r="B30" s="60"/>
      <c r="C30" s="481" t="str">
        <f>IF('Illustration Data Entry'!G26="","","Charges"&amp;IF(ISBLANK('Illustration Data Entry'!G15),"",
IF('Illustration Data Entry'!G15="GIA","",
IF('Illustration Data Entry'!G15="ISA","",
IF('Illustration Data Entry'!G15="ISA Transfer In (Partial Transfer)","",
IF('Illustration Data Entry'!G15="ISA Transfer In (Full Transfer)","",
IF('Illustration Data Entry'!G15="Other",""," - excluding charges made by the "&amp;'Illustration Data Entry'!G15&amp;" provider")))))))</f>
        <v/>
      </c>
      <c r="D30" s="482"/>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4"/>
      <c r="AO30" s="60"/>
      <c r="AP30" s="337"/>
    </row>
    <row r="31" spans="1:42" ht="15" customHeight="1" thickBot="1" x14ac:dyDescent="0.25">
      <c r="A31" s="338"/>
      <c r="B31" s="60"/>
      <c r="C31" s="394" t="s">
        <v>12</v>
      </c>
      <c r="D31" s="382"/>
      <c r="E31" s="416" t="s">
        <v>71</v>
      </c>
      <c r="F31" s="416"/>
      <c r="G31" s="416"/>
      <c r="H31" s="416"/>
      <c r="I31" s="416"/>
      <c r="J31" s="416"/>
      <c r="K31" s="416"/>
      <c r="L31" s="416"/>
      <c r="M31" s="416"/>
      <c r="N31" s="416"/>
      <c r="O31" s="416"/>
      <c r="P31" s="416"/>
      <c r="Q31" s="416" t="s">
        <v>72</v>
      </c>
      <c r="R31" s="416"/>
      <c r="S31" s="416"/>
      <c r="T31" s="416"/>
      <c r="U31" s="416"/>
      <c r="V31" s="416"/>
      <c r="W31" s="416"/>
      <c r="X31" s="416"/>
      <c r="Y31" s="416"/>
      <c r="Z31" s="416"/>
      <c r="AA31" s="416"/>
      <c r="AB31" s="416"/>
      <c r="AC31" s="416" t="s">
        <v>73</v>
      </c>
      <c r="AD31" s="416"/>
      <c r="AE31" s="416"/>
      <c r="AF31" s="416"/>
      <c r="AG31" s="416"/>
      <c r="AH31" s="416"/>
      <c r="AI31" s="416"/>
      <c r="AJ31" s="416"/>
      <c r="AK31" s="416"/>
      <c r="AL31" s="416"/>
      <c r="AM31" s="416"/>
      <c r="AN31" s="474"/>
      <c r="AO31" s="60"/>
      <c r="AP31" s="337"/>
    </row>
    <row r="32" spans="1:42" ht="9.75" customHeight="1" thickBot="1" x14ac:dyDescent="0.25">
      <c r="A32" s="338"/>
      <c r="B32" s="60"/>
      <c r="C32" s="500"/>
      <c r="D32" s="501"/>
      <c r="E32" s="417" t="s">
        <v>19</v>
      </c>
      <c r="F32" s="417"/>
      <c r="G32" s="417"/>
      <c r="H32" s="417"/>
      <c r="I32" s="417"/>
      <c r="J32" s="417"/>
      <c r="K32" s="417" t="str">
        <f>"("&amp;'Illustration Data Entry'!V124&amp;")"</f>
        <v>(GBP)</v>
      </c>
      <c r="L32" s="417"/>
      <c r="M32" s="417"/>
      <c r="N32" s="417"/>
      <c r="O32" s="417"/>
      <c r="P32" s="417"/>
      <c r="Q32" s="417" t="s">
        <v>19</v>
      </c>
      <c r="R32" s="417"/>
      <c r="S32" s="417"/>
      <c r="T32" s="417"/>
      <c r="U32" s="417"/>
      <c r="V32" s="417"/>
      <c r="W32" s="417" t="str">
        <f>"("&amp;'Illustration Data Entry'!V124&amp;")"</f>
        <v>(GBP)</v>
      </c>
      <c r="X32" s="417"/>
      <c r="Y32" s="417"/>
      <c r="Z32" s="417"/>
      <c r="AA32" s="417"/>
      <c r="AB32" s="417"/>
      <c r="AC32" s="526" t="s">
        <v>19</v>
      </c>
      <c r="AD32" s="527"/>
      <c r="AE32" s="527"/>
      <c r="AF32" s="527"/>
      <c r="AG32" s="527"/>
      <c r="AH32" s="527"/>
      <c r="AI32" s="527"/>
      <c r="AJ32" s="527"/>
      <c r="AK32" s="527"/>
      <c r="AL32" s="527"/>
      <c r="AM32" s="527"/>
      <c r="AN32" s="528"/>
      <c r="AO32" s="60"/>
      <c r="AP32" s="337"/>
    </row>
    <row r="33" spans="1:44" ht="12.75" customHeight="1" thickBot="1" x14ac:dyDescent="0.25">
      <c r="A33" s="338"/>
      <c r="B33" s="60"/>
      <c r="C33" s="394" t="s">
        <v>174</v>
      </c>
      <c r="D33" s="382"/>
      <c r="E33" s="502" t="str">
        <f>IF('Illustration Data Entry'!G26="","-",'Illustration Data Entry'!$V$158*100)</f>
        <v>-</v>
      </c>
      <c r="F33" s="502"/>
      <c r="G33" s="502"/>
      <c r="H33" s="502"/>
      <c r="I33" s="502"/>
      <c r="J33" s="502"/>
      <c r="K33" s="448" t="str">
        <f>IF('Illustration Data Entry'!G26="","-",('Illustration Data Entry'!$V$158*'Illustration Data Entry'!G26))</f>
        <v>-</v>
      </c>
      <c r="L33" s="448"/>
      <c r="M33" s="448"/>
      <c r="N33" s="448"/>
      <c r="O33" s="448"/>
      <c r="P33" s="448"/>
      <c r="Q33" s="448" t="str">
        <f>IF('Illustration Data Entry'!N28="","-",IF('Illustration Data Entry'!$N$28=0,"-",'Illustration Data Entry'!$V$158*100))</f>
        <v>-</v>
      </c>
      <c r="R33" s="448"/>
      <c r="S33" s="448"/>
      <c r="T33" s="448"/>
      <c r="U33" s="448"/>
      <c r="V33" s="448"/>
      <c r="W33" s="448" t="str">
        <f>IF('Illustration Data Entry'!N28="","-",IF('Illustration Data Entry'!$N$28=0,"-",Q33*H11))</f>
        <v>-</v>
      </c>
      <c r="X33" s="448"/>
      <c r="Y33" s="448"/>
      <c r="Z33" s="448"/>
      <c r="AA33" s="448"/>
      <c r="AB33" s="448"/>
      <c r="AC33" s="529" t="str">
        <f>IF('Illustration Data Entry'!G26="","-",'Illustration Data Entry'!AL105)</f>
        <v>-</v>
      </c>
      <c r="AD33" s="530"/>
      <c r="AE33" s="530"/>
      <c r="AF33" s="530"/>
      <c r="AG33" s="530"/>
      <c r="AH33" s="530"/>
      <c r="AI33" s="530"/>
      <c r="AJ33" s="530"/>
      <c r="AK33" s="530"/>
      <c r="AL33" s="530"/>
      <c r="AM33" s="530"/>
      <c r="AN33" s="531"/>
      <c r="AO33" s="60"/>
      <c r="AP33" s="337"/>
    </row>
    <row r="34" spans="1:44" ht="13.5" hidden="1" customHeight="1" thickBot="1" x14ac:dyDescent="0.25">
      <c r="A34" s="338"/>
      <c r="B34" s="60"/>
      <c r="C34" s="394"/>
      <c r="D34" s="382"/>
      <c r="E34" s="502"/>
      <c r="F34" s="502"/>
      <c r="G34" s="502"/>
      <c r="H34" s="502"/>
      <c r="I34" s="502"/>
      <c r="J34" s="502"/>
      <c r="K34" s="448"/>
      <c r="L34" s="448"/>
      <c r="M34" s="448"/>
      <c r="N34" s="448"/>
      <c r="O34" s="448"/>
      <c r="P34" s="448"/>
      <c r="Q34" s="448"/>
      <c r="R34" s="448"/>
      <c r="S34" s="448"/>
      <c r="T34" s="448"/>
      <c r="U34" s="448"/>
      <c r="V34" s="448"/>
      <c r="W34" s="448"/>
      <c r="X34" s="448"/>
      <c r="Y34" s="448"/>
      <c r="Z34" s="448"/>
      <c r="AA34" s="448"/>
      <c r="AB34" s="448"/>
      <c r="AC34" s="513" t="str">
        <f>IF(ISBLANK('Illustration Data Entry'!$G$26),"-",'Illustration Data Entry'!AL105)</f>
        <v>-</v>
      </c>
      <c r="AD34" s="513"/>
      <c r="AE34" s="513"/>
      <c r="AF34" s="513"/>
      <c r="AG34" s="513"/>
      <c r="AH34" s="513"/>
      <c r="AI34" s="513"/>
      <c r="AJ34" s="513"/>
      <c r="AK34" s="513"/>
      <c r="AL34" s="513"/>
      <c r="AM34" s="513"/>
      <c r="AN34" s="514"/>
      <c r="AO34" s="60"/>
      <c r="AP34" s="337"/>
    </row>
    <row r="35" spans="1:44" ht="13.5" hidden="1" customHeight="1" thickBot="1" x14ac:dyDescent="0.25">
      <c r="A35" s="338"/>
      <c r="B35" s="60"/>
      <c r="C35" s="394"/>
      <c r="D35" s="382"/>
      <c r="E35" s="502"/>
      <c r="F35" s="502"/>
      <c r="G35" s="502"/>
      <c r="H35" s="502"/>
      <c r="I35" s="502"/>
      <c r="J35" s="502"/>
      <c r="K35" s="448"/>
      <c r="L35" s="448"/>
      <c r="M35" s="448"/>
      <c r="N35" s="448"/>
      <c r="O35" s="448"/>
      <c r="P35" s="448"/>
      <c r="Q35" s="448"/>
      <c r="R35" s="448"/>
      <c r="S35" s="448"/>
      <c r="T35" s="448"/>
      <c r="U35" s="448"/>
      <c r="V35" s="448"/>
      <c r="W35" s="448"/>
      <c r="X35" s="448"/>
      <c r="Y35" s="448"/>
      <c r="Z35" s="448"/>
      <c r="AA35" s="448"/>
      <c r="AB35" s="448"/>
      <c r="AC35" s="515" t="str">
        <f>IF(ISBLANK('Illustration Data Entry'!$G$26),"-",'Illustration Data Entry'!AL106)</f>
        <v>-</v>
      </c>
      <c r="AD35" s="515"/>
      <c r="AE35" s="515"/>
      <c r="AF35" s="515"/>
      <c r="AG35" s="515"/>
      <c r="AH35" s="515"/>
      <c r="AI35" s="515"/>
      <c r="AJ35" s="515"/>
      <c r="AK35" s="515"/>
      <c r="AL35" s="515"/>
      <c r="AM35" s="515"/>
      <c r="AN35" s="516"/>
      <c r="AO35" s="60"/>
      <c r="AP35" s="337"/>
    </row>
    <row r="36" spans="1:44" ht="13.5" hidden="1" customHeight="1" thickBot="1" x14ac:dyDescent="0.25">
      <c r="A36" s="338"/>
      <c r="B36" s="60"/>
      <c r="C36" s="394"/>
      <c r="D36" s="382"/>
      <c r="E36" s="502"/>
      <c r="F36" s="502"/>
      <c r="G36" s="502"/>
      <c r="H36" s="502"/>
      <c r="I36" s="502"/>
      <c r="J36" s="502"/>
      <c r="K36" s="448"/>
      <c r="L36" s="448"/>
      <c r="M36" s="448"/>
      <c r="N36" s="448"/>
      <c r="O36" s="448"/>
      <c r="P36" s="448"/>
      <c r="Q36" s="448"/>
      <c r="R36" s="448"/>
      <c r="S36" s="448"/>
      <c r="T36" s="448"/>
      <c r="U36" s="448"/>
      <c r="V36" s="448"/>
      <c r="W36" s="448"/>
      <c r="X36" s="448"/>
      <c r="Y36" s="448"/>
      <c r="Z36" s="448"/>
      <c r="AA36" s="448"/>
      <c r="AB36" s="448"/>
      <c r="AC36" s="513" t="str">
        <f>IF(ISBLANK('Illustration Data Entry'!$G$26),"-",'Illustration Data Entry'!AL107)</f>
        <v>-</v>
      </c>
      <c r="AD36" s="513"/>
      <c r="AE36" s="513"/>
      <c r="AF36" s="513"/>
      <c r="AG36" s="513"/>
      <c r="AH36" s="513"/>
      <c r="AI36" s="513"/>
      <c r="AJ36" s="513"/>
      <c r="AK36" s="513"/>
      <c r="AL36" s="513"/>
      <c r="AM36" s="513"/>
      <c r="AN36" s="514"/>
      <c r="AO36" s="60"/>
      <c r="AP36" s="337"/>
    </row>
    <row r="37" spans="1:44" ht="13.5" hidden="1" customHeight="1" thickBot="1" x14ac:dyDescent="0.25">
      <c r="A37" s="338"/>
      <c r="B37" s="60"/>
      <c r="C37" s="394"/>
      <c r="D37" s="382"/>
      <c r="E37" s="502"/>
      <c r="F37" s="502"/>
      <c r="G37" s="502"/>
      <c r="H37" s="502"/>
      <c r="I37" s="502"/>
      <c r="J37" s="502"/>
      <c r="K37" s="448"/>
      <c r="L37" s="448"/>
      <c r="M37" s="448"/>
      <c r="N37" s="448"/>
      <c r="O37" s="448"/>
      <c r="P37" s="448"/>
      <c r="Q37" s="448"/>
      <c r="R37" s="448"/>
      <c r="S37" s="448"/>
      <c r="T37" s="448"/>
      <c r="U37" s="448"/>
      <c r="V37" s="448"/>
      <c r="W37" s="448"/>
      <c r="X37" s="448"/>
      <c r="Y37" s="448"/>
      <c r="Z37" s="448"/>
      <c r="AA37" s="448"/>
      <c r="AB37" s="448"/>
      <c r="AC37" s="515" t="str">
        <f>IF(ISBLANK('Illustration Data Entry'!$G$26),"-",'Illustration Data Entry'!AL108)</f>
        <v>-</v>
      </c>
      <c r="AD37" s="515"/>
      <c r="AE37" s="515"/>
      <c r="AF37" s="515"/>
      <c r="AG37" s="515"/>
      <c r="AH37" s="515"/>
      <c r="AI37" s="515"/>
      <c r="AJ37" s="515"/>
      <c r="AK37" s="515"/>
      <c r="AL37" s="515"/>
      <c r="AM37" s="515"/>
      <c r="AN37" s="516"/>
      <c r="AO37" s="60"/>
      <c r="AP37" s="337"/>
    </row>
    <row r="38" spans="1:44" ht="13.5" hidden="1" customHeight="1" thickBot="1" x14ac:dyDescent="0.25">
      <c r="A38" s="338"/>
      <c r="B38" s="60"/>
      <c r="C38" s="394"/>
      <c r="D38" s="382"/>
      <c r="E38" s="502"/>
      <c r="F38" s="502"/>
      <c r="G38" s="502"/>
      <c r="H38" s="502"/>
      <c r="I38" s="502"/>
      <c r="J38" s="502"/>
      <c r="K38" s="448"/>
      <c r="L38" s="448"/>
      <c r="M38" s="448"/>
      <c r="N38" s="448"/>
      <c r="O38" s="448"/>
      <c r="P38" s="448"/>
      <c r="Q38" s="448"/>
      <c r="R38" s="448"/>
      <c r="S38" s="448"/>
      <c r="T38" s="448"/>
      <c r="U38" s="448"/>
      <c r="V38" s="448"/>
      <c r="W38" s="448"/>
      <c r="X38" s="448"/>
      <c r="Y38" s="448"/>
      <c r="Z38" s="448"/>
      <c r="AA38" s="448"/>
      <c r="AB38" s="448"/>
      <c r="AC38" s="513" t="str">
        <f>IF(ISBLANK('Illustration Data Entry'!$G$26),"-",'Illustration Data Entry'!AL109)</f>
        <v>-</v>
      </c>
      <c r="AD38" s="513"/>
      <c r="AE38" s="513"/>
      <c r="AF38" s="513"/>
      <c r="AG38" s="513"/>
      <c r="AH38" s="513"/>
      <c r="AI38" s="513"/>
      <c r="AJ38" s="513"/>
      <c r="AK38" s="513"/>
      <c r="AL38" s="513"/>
      <c r="AM38" s="513"/>
      <c r="AN38" s="514"/>
      <c r="AO38" s="60"/>
      <c r="AP38" s="337"/>
    </row>
    <row r="39" spans="1:44" ht="13.5" customHeight="1" thickBot="1" x14ac:dyDescent="0.25">
      <c r="A39" s="338"/>
      <c r="B39" s="60"/>
      <c r="C39" s="503" t="s">
        <v>20</v>
      </c>
      <c r="D39" s="504"/>
      <c r="E39" s="445" t="str">
        <f>IF('Illustration Data Entry'!G26="","-",'Illustration Data Entry'!V160)</f>
        <v>-</v>
      </c>
      <c r="F39" s="445"/>
      <c r="G39" s="445"/>
      <c r="H39" s="445"/>
      <c r="I39" s="445"/>
      <c r="J39" s="445"/>
      <c r="K39" s="449" t="str">
        <f>IF('Illustration Data Entry'!G26="","-",('Illustration Data Entry'!V160*'Illustration Data Entry'!G26))</f>
        <v>-</v>
      </c>
      <c r="L39" s="449"/>
      <c r="M39" s="449"/>
      <c r="N39" s="449"/>
      <c r="O39" s="449"/>
      <c r="P39" s="449"/>
      <c r="Q39" s="449" t="str">
        <f>IF('Illustration Data Entry'!N28="","-",IF('Illustration Data Entry'!$N$28=0,"-",0))</f>
        <v>-</v>
      </c>
      <c r="R39" s="449"/>
      <c r="S39" s="449"/>
      <c r="T39" s="449"/>
      <c r="U39" s="449"/>
      <c r="V39" s="449"/>
      <c r="W39" s="449" t="str">
        <f>IF('Illustration Data Entry'!N28="","-",IF('Illustration Data Entry'!$N$28=0,"-",Q39*H11))</f>
        <v>-</v>
      </c>
      <c r="X39" s="449"/>
      <c r="Y39" s="449"/>
      <c r="Z39" s="449"/>
      <c r="AA39" s="449"/>
      <c r="AB39" s="449"/>
      <c r="AC39" s="532" t="str">
        <f>IF('Illustration Data Entry'!G26="","-",'Illustration Data Entry'!$V$169*100)</f>
        <v>-</v>
      </c>
      <c r="AD39" s="533"/>
      <c r="AE39" s="533"/>
      <c r="AF39" s="533"/>
      <c r="AG39" s="533"/>
      <c r="AH39" s="533"/>
      <c r="AI39" s="533"/>
      <c r="AJ39" s="533"/>
      <c r="AK39" s="533"/>
      <c r="AL39" s="533"/>
      <c r="AM39" s="533"/>
      <c r="AN39" s="534"/>
      <c r="AO39" s="60"/>
      <c r="AP39" s="337"/>
    </row>
    <row r="40" spans="1:44" ht="15" customHeight="1" thickBot="1" x14ac:dyDescent="0.25">
      <c r="A40" s="338"/>
      <c r="B40" s="60"/>
      <c r="C40" s="394" t="s">
        <v>146</v>
      </c>
      <c r="D40" s="382"/>
      <c r="E40" s="446" t="str">
        <f>IF('Illustration Data Entry'!G26="","-",
IF('Illustration Data Entry'!G26=0,0,
IF('Illustration Data Entry'!N91="",0,
IF('Illustration Data Entry'!N91='Illustration Data Entry'!V171,'Illustration Data Entry'!K91/'Illustration Data Entry'!G26*100,
IF('Illustration Data Entry'!N91='Illustration Data Entry'!V172,'Illustration Data Entry'!K91,"-")))))</f>
        <v>-</v>
      </c>
      <c r="F40" s="446"/>
      <c r="G40" s="446"/>
      <c r="H40" s="446"/>
      <c r="I40" s="446"/>
      <c r="J40" s="446"/>
      <c r="K40" s="515" t="str">
        <f>IF('Illustration Data Entry'!G26="","-",
IF('Illustration Data Entry'!G26=0,0,
IF('Illustration Data Entry'!N91="",0,
IF('Illustration Data Entry'!N91='Illustration Data Entry'!V171,'Illustration Data Entry'!K91,
IF('Illustration Data Entry'!N91='Illustration Data Entry'!V172,'Illustration Data Entry'!K91/100*'Illustration Data Entry'!G26)))))</f>
        <v>-</v>
      </c>
      <c r="L40" s="515"/>
      <c r="M40" s="515"/>
      <c r="N40" s="515"/>
      <c r="O40" s="515"/>
      <c r="P40" s="515"/>
      <c r="Q40" s="515" t="str">
        <f>IF('Illustration Data Entry'!N28="","-",
IF('Illustration Data Entry'!N28=0,0,
IF('Illustration Data Entry'!N97="",0,
IF('Illustration Data Entry'!N97='Illustration Data Entry'!V171,'Illustration Data Entry'!K97/'Illustration Data Entry'!N28*100,
IF('Illustration Data Entry'!N97='Illustration Data Entry'!V172,'Illustration Data Entry'!K97,"-")))))</f>
        <v>-</v>
      </c>
      <c r="R40" s="515"/>
      <c r="S40" s="515"/>
      <c r="T40" s="515"/>
      <c r="U40" s="515"/>
      <c r="V40" s="515"/>
      <c r="W40" s="515" t="str">
        <f>IF('Illustration Data Entry'!N28="","-",
IF('Illustration Data Entry'!N28=0,0,
IF('Illustration Data Entry'!N97="",0,
IF('Illustration Data Entry'!N97='Illustration Data Entry'!V171,'Illustration Data Entry'!K97,
IF('Illustration Data Entry'!N97='Illustration Data Entry'!V172,'Illustration Data Entry'!K97/100*'Illustration Data Entry'!N28)))))</f>
        <v>-</v>
      </c>
      <c r="X40" s="515"/>
      <c r="Y40" s="515"/>
      <c r="Z40" s="515"/>
      <c r="AA40" s="515"/>
      <c r="AB40" s="515"/>
      <c r="AC40" s="529" t="str">
        <f>IF('Illustration Data Entry'!G26="","-",'Illustration Data Entry'!$K$93*100)</f>
        <v>-</v>
      </c>
      <c r="AD40" s="530"/>
      <c r="AE40" s="530"/>
      <c r="AF40" s="530"/>
      <c r="AG40" s="530"/>
      <c r="AH40" s="530"/>
      <c r="AI40" s="530"/>
      <c r="AJ40" s="530"/>
      <c r="AK40" s="530"/>
      <c r="AL40" s="530"/>
      <c r="AM40" s="530"/>
      <c r="AN40" s="531"/>
      <c r="AO40" s="60"/>
      <c r="AP40" s="337"/>
    </row>
    <row r="41" spans="1:44" ht="15" customHeight="1" thickBot="1" x14ac:dyDescent="0.25">
      <c r="A41" s="338"/>
      <c r="B41" s="60"/>
      <c r="C41" s="407" t="s">
        <v>2</v>
      </c>
      <c r="D41" s="408"/>
      <c r="E41" s="447" t="str">
        <f>IF('Illustration Data Entry'!G26="","-",(E33+E39+E40))</f>
        <v>-</v>
      </c>
      <c r="F41" s="447"/>
      <c r="G41" s="447"/>
      <c r="H41" s="447"/>
      <c r="I41" s="447"/>
      <c r="J41" s="447"/>
      <c r="K41" s="491" t="str">
        <f>IF('Illustration Data Entry'!G26="","-",(K33+K39+K40))</f>
        <v>-</v>
      </c>
      <c r="L41" s="491"/>
      <c r="M41" s="491"/>
      <c r="N41" s="491"/>
      <c r="O41" s="491"/>
      <c r="P41" s="491"/>
      <c r="Q41" s="492" t="str">
        <f>IF('Illustration Data Entry'!N28="","-",IF('Illustration Data Entry'!$N$28=0,"-",(Q33+Q39+Q40)))</f>
        <v>-</v>
      </c>
      <c r="R41" s="492"/>
      <c r="S41" s="492"/>
      <c r="T41" s="492"/>
      <c r="U41" s="492"/>
      <c r="V41" s="492"/>
      <c r="W41" s="492" t="str">
        <f>IF('Illustration Data Entry'!N28="","-",IF('Illustration Data Entry'!$N$28=0,"-",Q41%*H11))</f>
        <v>-</v>
      </c>
      <c r="X41" s="492"/>
      <c r="Y41" s="492"/>
      <c r="Z41" s="492"/>
      <c r="AA41" s="492"/>
      <c r="AB41" s="492"/>
      <c r="AC41" s="535" t="str">
        <f>IF('Illustration Data Entry'!G26="","-",(AC33+AC39+AC40))</f>
        <v>-</v>
      </c>
      <c r="AD41" s="536"/>
      <c r="AE41" s="536"/>
      <c r="AF41" s="536"/>
      <c r="AG41" s="536"/>
      <c r="AH41" s="536"/>
      <c r="AI41" s="536"/>
      <c r="AJ41" s="536"/>
      <c r="AK41" s="536"/>
      <c r="AL41" s="536"/>
      <c r="AM41" s="536"/>
      <c r="AN41" s="537"/>
      <c r="AO41" s="60"/>
      <c r="AP41" s="337"/>
    </row>
    <row r="42" spans="1:44" ht="13.5" hidden="1" thickBot="1" x14ac:dyDescent="0.25">
      <c r="A42" s="338"/>
      <c r="B42" s="60"/>
      <c r="C42" s="505" t="str">
        <f>IF('Illustration Data Entry'!N82&gt;0,"Indicative underlying Asset Management Charges*","")</f>
        <v/>
      </c>
      <c r="D42" s="506"/>
      <c r="E42" s="444" t="str">
        <f>IF('Illustration Data Entry'!N82&gt;0,"-","")</f>
        <v/>
      </c>
      <c r="F42" s="444"/>
      <c r="G42" s="444"/>
      <c r="H42" s="444"/>
      <c r="I42" s="444"/>
      <c r="J42" s="444"/>
      <c r="K42" s="444" t="str">
        <f>IF('Illustration Data Entry'!N82&gt;0,"-","")</f>
        <v/>
      </c>
      <c r="L42" s="444"/>
      <c r="M42" s="444"/>
      <c r="N42" s="444"/>
      <c r="O42" s="444"/>
      <c r="P42" s="444"/>
      <c r="Q42" s="444" t="str">
        <f>IF('Illustration Data Entry'!N82&gt;0,"-","")</f>
        <v/>
      </c>
      <c r="R42" s="444"/>
      <c r="S42" s="444"/>
      <c r="T42" s="444"/>
      <c r="U42" s="444"/>
      <c r="V42" s="444"/>
      <c r="W42" s="444" t="str">
        <f>IF('Illustration Data Entry'!N82&gt;0,"-","")</f>
        <v/>
      </c>
      <c r="X42" s="444"/>
      <c r="Y42" s="444"/>
      <c r="Z42" s="444"/>
      <c r="AA42" s="444"/>
      <c r="AB42" s="444"/>
      <c r="AC42" s="507" t="str">
        <f>IF('Illustration Data Entry'!N82&gt;0,(IF('Illustration Data Entry'!G26="","-",'Illustration Data Entry'!N82*100)),"")</f>
        <v/>
      </c>
      <c r="AD42" s="507"/>
      <c r="AE42" s="507"/>
      <c r="AF42" s="507"/>
      <c r="AG42" s="507"/>
      <c r="AH42" s="507"/>
      <c r="AI42" s="507"/>
      <c r="AJ42" s="507"/>
      <c r="AK42" s="507"/>
      <c r="AL42" s="507"/>
      <c r="AM42" s="507"/>
      <c r="AN42" s="508"/>
      <c r="AO42" s="60"/>
      <c r="AP42" s="337"/>
    </row>
    <row r="43" spans="1:44" ht="16.5" customHeight="1" thickBot="1" x14ac:dyDescent="0.25">
      <c r="A43" s="338"/>
      <c r="B43" s="60"/>
      <c r="C43" s="493" t="str">
        <f>IF('Illustration Data Entry'!G26="","","All charges are stated exclusive of VAT, which will also be charged where applicable and deducted from your investment. ")</f>
        <v/>
      </c>
      <c r="D43" s="494"/>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6"/>
      <c r="AO43" s="60"/>
      <c r="AP43" s="337"/>
    </row>
    <row r="44" spans="1:44" ht="57.75" customHeight="1" thickBot="1" x14ac:dyDescent="0.25">
      <c r="A44" s="338"/>
      <c r="B44" s="60"/>
      <c r="C44" s="487" t="str">
        <f>IF(ISBLANK('Illustration Data Entry'!G26),"","The Investment Management Charge is payable to the Investment Manager."&amp;" This amount covers all fees payable to the Investment Manager for its services, and Præmium International Limited for opening and administering your investment account."&amp;"
The annual Adviser Charge is payable to your Financial Adviser for the services you receive.")</f>
        <v/>
      </c>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90"/>
      <c r="AO44" s="60"/>
      <c r="AP44" s="337"/>
    </row>
    <row r="45" spans="1:44" ht="24.75" hidden="1" customHeight="1" thickBot="1" x14ac:dyDescent="0.25">
      <c r="A45" s="338"/>
      <c r="B45" s="60"/>
      <c r="C45" s="497" t="str">
        <f>IF('Illustration Data Entry'!N82&gt;0,(IF(ISBLANK('Illustration Data Entry'!G26),"","*Where applicable, the indicative underlying asset management charge figures are shown net of any rebate that will be credited to the account periodically.")),"")</f>
        <v/>
      </c>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9"/>
      <c r="AO45" s="60"/>
      <c r="AP45" s="337"/>
    </row>
    <row r="46" spans="1:44" x14ac:dyDescent="0.2">
      <c r="A46" s="338"/>
      <c r="B46" s="60"/>
      <c r="C46" s="458" t="str">
        <f>IF('Illustration Data Entry'!N82&gt;0,(IF('Illustration Data Entry'!N22='Illustration Data Entry'!V113,"If this is your first account set up through the DPS platform, we will also take a 'Custody and Execution Set-up Fee of "&amp;'Illustration Data Entry'!V124&amp;'Illustration Data Entry'!V156&amp;" from your initial amount received before investing."," ")),"")</f>
        <v/>
      </c>
      <c r="D46" s="459"/>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1"/>
      <c r="AO46" s="60"/>
      <c r="AP46" s="337"/>
      <c r="AR46" s="20"/>
    </row>
    <row r="47" spans="1:44" ht="18.75" customHeight="1" x14ac:dyDescent="0.2">
      <c r="A47" s="338"/>
      <c r="B47" s="60"/>
      <c r="C47" s="479"/>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80"/>
      <c r="AO47" s="60"/>
      <c r="AP47" s="337"/>
    </row>
    <row r="48" spans="1:44" ht="13.5" customHeight="1" thickBot="1" x14ac:dyDescent="0.25">
      <c r="A48" s="338"/>
      <c r="B48" s="60"/>
      <c r="C48" s="481" t="s">
        <v>77</v>
      </c>
      <c r="D48" s="482"/>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4"/>
      <c r="AO48" s="60"/>
      <c r="AP48" s="337"/>
    </row>
    <row r="49" spans="1:42" ht="33.75" customHeight="1" thickBot="1" x14ac:dyDescent="0.25">
      <c r="A49" s="338"/>
      <c r="B49" s="60"/>
      <c r="C49" s="468" t="str">
        <f>IF(ISBLANK('Illustration Data Entry'!G26),"","The table below shows shows how much your investment would be worth after 10 years if your plan grows by the standardised rates shown."&amp;" These figures are for illustrative purposes only and are not guaranteed. What you will get back depends on the actual rate at which your investments grow and may be less than the amount you invest.")</f>
        <v/>
      </c>
      <c r="D49" s="469"/>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1"/>
      <c r="AO49" s="60"/>
      <c r="AP49" s="337"/>
    </row>
    <row r="50" spans="1:42" ht="15" customHeight="1" thickBot="1" x14ac:dyDescent="0.25">
      <c r="A50" s="338"/>
      <c r="B50" s="60"/>
      <c r="C50" s="394" t="s">
        <v>70</v>
      </c>
      <c r="D50" s="382"/>
      <c r="E50" s="485" t="s">
        <v>7</v>
      </c>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6"/>
      <c r="AO50" s="60"/>
      <c r="AP50" s="337"/>
    </row>
    <row r="51" spans="1:42" ht="9.75" customHeight="1" thickBot="1" x14ac:dyDescent="0.25">
      <c r="A51" s="338"/>
      <c r="B51" s="60"/>
      <c r="C51" s="405"/>
      <c r="D51" s="406"/>
      <c r="E51" s="477" t="str">
        <f>"("&amp;'Illustration Data Entry'!V124&amp;")"</f>
        <v>(GBP)</v>
      </c>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8"/>
      <c r="AO51" s="60"/>
      <c r="AP51" s="337"/>
    </row>
    <row r="52" spans="1:42" ht="15" customHeight="1" thickBot="1" x14ac:dyDescent="0.25">
      <c r="A52" s="338"/>
      <c r="B52" s="60"/>
      <c r="C52" s="438" t="str">
        <f>'Illustration Data Entry'!N72&amp;" rate of growth"</f>
        <v>1.5% rate of growth</v>
      </c>
      <c r="D52" s="439"/>
      <c r="E52" s="440" t="str">
        <f>IF(ISBLANK('Illustration Data Entry'!G26),"-",(ROUNDDOWN('Calculation 1'!T18,3)))</f>
        <v>-</v>
      </c>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1"/>
      <c r="AO52" s="60"/>
      <c r="AP52" s="337"/>
    </row>
    <row r="53" spans="1:42" ht="15" customHeight="1" thickBot="1" x14ac:dyDescent="0.25">
      <c r="A53" s="338"/>
      <c r="B53" s="60"/>
      <c r="C53" s="442" t="str">
        <f>'Illustration Data Entry'!N74&amp;" rate of growth"</f>
        <v>4.5% rate of growth</v>
      </c>
      <c r="D53" s="443"/>
      <c r="E53" s="421" t="str">
        <f>IF(ISBLANK('Illustration Data Entry'!G26),"-",(ROUNDDOWN('Calculation 2'!T18,3)))</f>
        <v>-</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2"/>
      <c r="AO53" s="60"/>
      <c r="AP53" s="337"/>
    </row>
    <row r="54" spans="1:42" ht="15" customHeight="1" thickBot="1" x14ac:dyDescent="0.25">
      <c r="A54" s="338"/>
      <c r="B54" s="60"/>
      <c r="C54" s="438" t="str">
        <f>'Illustration Data Entry'!N76&amp;" rate of growth"</f>
        <v>7.5% rate of growth</v>
      </c>
      <c r="D54" s="439"/>
      <c r="E54" s="440" t="str">
        <f>IF(ISBLANK('Illustration Data Entry'!G26),"-",(ROUNDDOWN('Calculation 3'!T18,3)))</f>
        <v>-</v>
      </c>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1"/>
      <c r="AO54" s="60"/>
      <c r="AP54" s="337"/>
    </row>
    <row r="55" spans="1:42" ht="33.75" customHeight="1" thickBot="1" x14ac:dyDescent="0.25">
      <c r="A55" s="338"/>
      <c r="B55" s="60"/>
      <c r="C55" s="468" t="str">
        <f>IF(ISBLANK('Illustration Data Entry'!G26),"","The table below shows the effect of charges and expenses on the above investments over 1,3,5 and 10 years. An annual growth rate of "&amp;FIXED(ROUND('Illustration Data Entry'!N74*100,2),1)&amp;"% and an annual income yield of "&amp;FIXED(ROUND('Illustration Data Entry'!V151*100,2),1)&amp;"% is assumed for the portfolio after the allocated share of dealing costs and expenses have been met excluding underlying asset management charges, with regular payments, growth, income and annual charges paid monthly.")</f>
        <v/>
      </c>
      <c r="D55" s="469"/>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1"/>
      <c r="AO55" s="60"/>
      <c r="AP55" s="337"/>
    </row>
    <row r="56" spans="1:42" ht="20.25" customHeight="1" thickBot="1" x14ac:dyDescent="0.25">
      <c r="A56" s="338"/>
      <c r="B56" s="60"/>
      <c r="C56" s="472" t="s">
        <v>13</v>
      </c>
      <c r="D56" s="473"/>
      <c r="E56" s="416" t="s">
        <v>74</v>
      </c>
      <c r="F56" s="416"/>
      <c r="G56" s="416"/>
      <c r="H56" s="416"/>
      <c r="I56" s="416"/>
      <c r="J56" s="416"/>
      <c r="K56" s="416"/>
      <c r="L56" s="416"/>
      <c r="M56" s="416"/>
      <c r="N56" s="416" t="str">
        <f>IF(AND('Illustration Data Entry'!$N$67='Illustration Data Entry'!V114,'Illustration Data Entry'!G28='Illustration Data Entry'!V107),"Withdrawals and income paid out to date",
IF(AND('Illustration Data Entry'!$N$67='Illustration Data Entry'!V113,'Illustration Data Entry'!G28='Illustration Data Entry'!V107),"Withdrawals to date",
"Income paid out to date"))</f>
        <v>Income paid out to date</v>
      </c>
      <c r="O56" s="416"/>
      <c r="P56" s="416"/>
      <c r="Q56" s="416"/>
      <c r="R56" s="416"/>
      <c r="S56" s="416"/>
      <c r="T56" s="416"/>
      <c r="U56" s="416"/>
      <c r="V56" s="416"/>
      <c r="W56" s="416" t="s">
        <v>49</v>
      </c>
      <c r="X56" s="416"/>
      <c r="Y56" s="416"/>
      <c r="Z56" s="416"/>
      <c r="AA56" s="416"/>
      <c r="AB56" s="416"/>
      <c r="AC56" s="416"/>
      <c r="AD56" s="416"/>
      <c r="AE56" s="416"/>
      <c r="AF56" s="416" t="str">
        <f>"What you might get back at "&amp;'Illustration Data Entry'!N74*100 &amp; "%"</f>
        <v>What you might get back at 4.5%</v>
      </c>
      <c r="AG56" s="416"/>
      <c r="AH56" s="416"/>
      <c r="AI56" s="416"/>
      <c r="AJ56" s="416"/>
      <c r="AK56" s="416"/>
      <c r="AL56" s="416"/>
      <c r="AM56" s="416"/>
      <c r="AN56" s="474"/>
      <c r="AO56" s="60"/>
      <c r="AP56" s="337"/>
    </row>
    <row r="57" spans="1:42" ht="9.75" customHeight="1" thickBot="1" x14ac:dyDescent="0.25">
      <c r="A57" s="338"/>
      <c r="B57" s="60"/>
      <c r="C57" s="475"/>
      <c r="D57" s="476"/>
      <c r="E57" s="417" t="str">
        <f>"("&amp;'Illustration Data Entry'!V124&amp;")"</f>
        <v>(GBP)</v>
      </c>
      <c r="F57" s="417"/>
      <c r="G57" s="417"/>
      <c r="H57" s="417"/>
      <c r="I57" s="417"/>
      <c r="J57" s="417"/>
      <c r="K57" s="417"/>
      <c r="L57" s="417"/>
      <c r="M57" s="417"/>
      <c r="N57" s="417" t="str">
        <f>"("&amp;'Illustration Data Entry'!V124&amp;")"</f>
        <v>(GBP)</v>
      </c>
      <c r="O57" s="417"/>
      <c r="P57" s="417"/>
      <c r="Q57" s="417"/>
      <c r="R57" s="417"/>
      <c r="S57" s="417"/>
      <c r="T57" s="417"/>
      <c r="U57" s="417"/>
      <c r="V57" s="417"/>
      <c r="W57" s="417" t="str">
        <f>"("&amp;'Illustration Data Entry'!V124&amp;")"</f>
        <v>(GBP)</v>
      </c>
      <c r="X57" s="417"/>
      <c r="Y57" s="417"/>
      <c r="Z57" s="417"/>
      <c r="AA57" s="417"/>
      <c r="AB57" s="417"/>
      <c r="AC57" s="417"/>
      <c r="AD57" s="417"/>
      <c r="AE57" s="417"/>
      <c r="AF57" s="417" t="str">
        <f>"("&amp;'Illustration Data Entry'!V124&amp;")"</f>
        <v>(GBP)</v>
      </c>
      <c r="AG57" s="417"/>
      <c r="AH57" s="417"/>
      <c r="AI57" s="417"/>
      <c r="AJ57" s="417"/>
      <c r="AK57" s="417"/>
      <c r="AL57" s="417"/>
      <c r="AM57" s="417"/>
      <c r="AN57" s="453"/>
      <c r="AO57" s="60"/>
      <c r="AP57" s="337"/>
    </row>
    <row r="58" spans="1:42" ht="15" customHeight="1" thickBot="1" x14ac:dyDescent="0.25">
      <c r="A58" s="338"/>
      <c r="B58" s="60"/>
      <c r="C58" s="464">
        <v>1</v>
      </c>
      <c r="D58" s="465"/>
      <c r="E58" s="466" t="str">
        <f>IF(ISBLANK('Illustration Data Entry'!G26),"-",'Calculation 2'!Q15)</f>
        <v>-</v>
      </c>
      <c r="F58" s="467"/>
      <c r="G58" s="467"/>
      <c r="H58" s="467"/>
      <c r="I58" s="467"/>
      <c r="J58" s="467"/>
      <c r="K58" s="467"/>
      <c r="L58" s="467"/>
      <c r="M58" s="467"/>
      <c r="N58" s="454" t="str">
        <f>IF(ISBLANK('Illustration Data Entry'!G26),"-",
IF(AND('Illustration Data Entry'!$N$67="No",'Illustration Data Entry'!G28='Illustration Data Entry'!V107),('Calculation 2'!R15+'Calculation 2'!S15),
IF('Illustration Data Entry'!G28='Illustration Data Entry'!V107,'Calculation 2'!R15,
IF('Illustration Data Entry'!N67='Illustration Data Entry'!V113,"-",
'Calculation 2'!S15))))</f>
        <v>-</v>
      </c>
      <c r="O58" s="454"/>
      <c r="P58" s="454"/>
      <c r="Q58" s="454"/>
      <c r="R58" s="454"/>
      <c r="S58" s="454"/>
      <c r="T58" s="454"/>
      <c r="U58" s="454"/>
      <c r="V58" s="454"/>
      <c r="W58" s="454" t="str">
        <f>IF(ISBLANK('Illustration Data Entry'!G26),"-",'Calculation 2'!P15)</f>
        <v>-</v>
      </c>
      <c r="X58" s="454"/>
      <c r="Y58" s="454"/>
      <c r="Z58" s="454"/>
      <c r="AA58" s="454"/>
      <c r="AB58" s="454"/>
      <c r="AC58" s="454"/>
      <c r="AD58" s="454"/>
      <c r="AE58" s="454"/>
      <c r="AF58" s="454" t="str">
        <f>IF(ISBLANK('Illustration Data Entry'!G26),"-",'Calculation 2'!T15)</f>
        <v>-</v>
      </c>
      <c r="AG58" s="454"/>
      <c r="AH58" s="454"/>
      <c r="AI58" s="454"/>
      <c r="AJ58" s="454"/>
      <c r="AK58" s="454"/>
      <c r="AL58" s="454"/>
      <c r="AM58" s="454"/>
      <c r="AN58" s="455"/>
      <c r="AO58" s="60"/>
      <c r="AP58" s="337"/>
    </row>
    <row r="59" spans="1:42" ht="15" customHeight="1" thickBot="1" x14ac:dyDescent="0.25">
      <c r="A59" s="338"/>
      <c r="B59" s="60"/>
      <c r="C59" s="456">
        <v>3</v>
      </c>
      <c r="D59" s="457"/>
      <c r="E59" s="462" t="str">
        <f>IF(ISBLANK('Illustration Data Entry'!G26),"-",'Calculation 2'!Q16)</f>
        <v>-</v>
      </c>
      <c r="F59" s="462"/>
      <c r="G59" s="462"/>
      <c r="H59" s="462"/>
      <c r="I59" s="462"/>
      <c r="J59" s="462"/>
      <c r="K59" s="462"/>
      <c r="L59" s="462"/>
      <c r="M59" s="462"/>
      <c r="N59" s="462" t="str">
        <f>IF(ISBLANK('Illustration Data Entry'!G26),"-",
IF(AND('Illustration Data Entry'!$N$67="No",'Illustration Data Entry'!G28='Illustration Data Entry'!V107),('Calculation 2'!R16+'Calculation 2'!S16),
IF('Illustration Data Entry'!G28='Illustration Data Entry'!V107,'Calculation 2'!R16,
IF('Illustration Data Entry'!N67='Illustration Data Entry'!V113,"-",
'Calculation 2'!S16))))</f>
        <v>-</v>
      </c>
      <c r="O59" s="462"/>
      <c r="P59" s="462"/>
      <c r="Q59" s="462"/>
      <c r="R59" s="462"/>
      <c r="S59" s="462"/>
      <c r="T59" s="462"/>
      <c r="U59" s="462"/>
      <c r="V59" s="462"/>
      <c r="W59" s="462" t="str">
        <f>IF(ISBLANK('Illustration Data Entry'!G26),"-",'Calculation 2'!P16)</f>
        <v>-</v>
      </c>
      <c r="X59" s="462"/>
      <c r="Y59" s="462"/>
      <c r="Z59" s="462"/>
      <c r="AA59" s="462"/>
      <c r="AB59" s="462"/>
      <c r="AC59" s="462"/>
      <c r="AD59" s="462"/>
      <c r="AE59" s="462"/>
      <c r="AF59" s="462" t="str">
        <f>IF(ISBLANK('Illustration Data Entry'!G26),"-",'Calculation 2'!T16)</f>
        <v>-</v>
      </c>
      <c r="AG59" s="462"/>
      <c r="AH59" s="462"/>
      <c r="AI59" s="462"/>
      <c r="AJ59" s="462"/>
      <c r="AK59" s="462"/>
      <c r="AL59" s="462"/>
      <c r="AM59" s="462"/>
      <c r="AN59" s="463"/>
      <c r="AO59" s="60"/>
      <c r="AP59" s="337"/>
    </row>
    <row r="60" spans="1:42" ht="15" customHeight="1" thickBot="1" x14ac:dyDescent="0.25">
      <c r="A60" s="338"/>
      <c r="B60" s="60"/>
      <c r="C60" s="464">
        <v>5</v>
      </c>
      <c r="D60" s="465"/>
      <c r="E60" s="454" t="str">
        <f>IF(ISBLANK('Illustration Data Entry'!G26),"-",'Calculation 2'!Q17)</f>
        <v>-</v>
      </c>
      <c r="F60" s="454"/>
      <c r="G60" s="454"/>
      <c r="H60" s="454"/>
      <c r="I60" s="454"/>
      <c r="J60" s="454"/>
      <c r="K60" s="454"/>
      <c r="L60" s="454"/>
      <c r="M60" s="454"/>
      <c r="N60" s="454" t="str">
        <f>IF(ISBLANK('Illustration Data Entry'!G26),"-",
IF(AND('Illustration Data Entry'!$N$67="No",'Illustration Data Entry'!G28='Illustration Data Entry'!V107),('Calculation 2'!R17+'Calculation 2'!S17),
IF('Illustration Data Entry'!G28='Illustration Data Entry'!V107,'Calculation 2'!R17,
IF('Illustration Data Entry'!N67='Illustration Data Entry'!V113,"-",
'Calculation 2'!S17))))</f>
        <v>-</v>
      </c>
      <c r="O60" s="454"/>
      <c r="P60" s="454"/>
      <c r="Q60" s="454"/>
      <c r="R60" s="454"/>
      <c r="S60" s="454"/>
      <c r="T60" s="454"/>
      <c r="U60" s="454"/>
      <c r="V60" s="454"/>
      <c r="W60" s="454" t="str">
        <f>IF(ISBLANK('Illustration Data Entry'!G26),"-",'Calculation 2'!P17)</f>
        <v>-</v>
      </c>
      <c r="X60" s="454"/>
      <c r="Y60" s="454"/>
      <c r="Z60" s="454"/>
      <c r="AA60" s="454"/>
      <c r="AB60" s="454"/>
      <c r="AC60" s="454"/>
      <c r="AD60" s="454"/>
      <c r="AE60" s="454"/>
      <c r="AF60" s="454" t="str">
        <f>IF(ISBLANK('Illustration Data Entry'!G26),"-",'Calculation 2'!T17)</f>
        <v>-</v>
      </c>
      <c r="AG60" s="454"/>
      <c r="AH60" s="454"/>
      <c r="AI60" s="454"/>
      <c r="AJ60" s="454"/>
      <c r="AK60" s="454"/>
      <c r="AL60" s="454"/>
      <c r="AM60" s="454"/>
      <c r="AN60" s="455"/>
      <c r="AO60" s="60"/>
      <c r="AP60" s="337"/>
    </row>
    <row r="61" spans="1:42" ht="15" customHeight="1" thickBot="1" x14ac:dyDescent="0.25">
      <c r="A61" s="338"/>
      <c r="B61" s="60"/>
      <c r="C61" s="456">
        <v>10</v>
      </c>
      <c r="D61" s="457"/>
      <c r="E61" s="462" t="str">
        <f>IF(ISBLANK('Illustration Data Entry'!G26),"-",'Calculation 2'!Q18)</f>
        <v>-</v>
      </c>
      <c r="F61" s="462"/>
      <c r="G61" s="462"/>
      <c r="H61" s="462"/>
      <c r="I61" s="462"/>
      <c r="J61" s="462"/>
      <c r="K61" s="462"/>
      <c r="L61" s="462"/>
      <c r="M61" s="462"/>
      <c r="N61" s="462" t="str">
        <f>IF(ISBLANK('Illustration Data Entry'!G26),"-",
IF(AND('Illustration Data Entry'!$N$67="No",'Illustration Data Entry'!G28='Illustration Data Entry'!V107),('Calculation 2'!R18+'Calculation 2'!S18),
IF('Illustration Data Entry'!G28='Illustration Data Entry'!V107,'Calculation 2'!R18,
IF('Illustration Data Entry'!N67='Illustration Data Entry'!V113,"-",
'Calculation 2'!S18))))</f>
        <v>-</v>
      </c>
      <c r="O61" s="462"/>
      <c r="P61" s="462"/>
      <c r="Q61" s="462"/>
      <c r="R61" s="462"/>
      <c r="S61" s="462"/>
      <c r="T61" s="462"/>
      <c r="U61" s="462"/>
      <c r="V61" s="462"/>
      <c r="W61" s="462" t="str">
        <f>IF(ISBLANK('Illustration Data Entry'!G26),"-",'Calculation 2'!P18)</f>
        <v>-</v>
      </c>
      <c r="X61" s="462"/>
      <c r="Y61" s="462"/>
      <c r="Z61" s="462"/>
      <c r="AA61" s="462"/>
      <c r="AB61" s="462"/>
      <c r="AC61" s="462"/>
      <c r="AD61" s="462"/>
      <c r="AE61" s="462"/>
      <c r="AF61" s="462" t="str">
        <f>IF(ISBLANK('Illustration Data Entry'!G26),"-",'Calculation 2'!T18)</f>
        <v>-</v>
      </c>
      <c r="AG61" s="462"/>
      <c r="AH61" s="462"/>
      <c r="AI61" s="462"/>
      <c r="AJ61" s="462"/>
      <c r="AK61" s="462"/>
      <c r="AL61" s="462"/>
      <c r="AM61" s="462"/>
      <c r="AN61" s="463"/>
      <c r="AO61" s="60"/>
      <c r="AP61" s="337"/>
    </row>
    <row r="62" spans="1:42" ht="24" customHeight="1" x14ac:dyDescent="0.2">
      <c r="A62" s="338"/>
      <c r="B62" s="60"/>
      <c r="C62" s="458" t="str">
        <f>IF('Illustration Data Entry'!G26="","","In this example, charges would reduce the amount your investment grows by each year by "&amp;(FIXED(ROUND(('Illustration Data Entry'!N74*100)-('Calculation 2'!T19*100),1),1)&amp;"%. Putting it another way, this would have the effect of bringing down the illustrated growth rate from "&amp;FIXED('Illustration Data Entry'!N74*100,1)&amp;"% to "&amp;FIXED('Calculation 2'!T19*100,1)&amp;"%."))</f>
        <v/>
      </c>
      <c r="D62" s="459"/>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1"/>
      <c r="AO62" s="60"/>
      <c r="AP62" s="337"/>
    </row>
    <row r="63" spans="1:42" ht="118.5" customHeight="1" thickBot="1" x14ac:dyDescent="0.25">
      <c r="A63" s="338"/>
      <c r="B63" s="60"/>
      <c r="C63" s="450" t="s">
        <v>83</v>
      </c>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2"/>
      <c r="AO63" s="60"/>
      <c r="AP63" s="337"/>
    </row>
    <row r="64" spans="1:42" ht="6.75" customHeight="1" thickBot="1" x14ac:dyDescent="0.25">
      <c r="A64" s="338"/>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337"/>
    </row>
    <row r="65" spans="1:42" ht="30" customHeight="1" thickTop="1" x14ac:dyDescent="0.2">
      <c r="A65" s="59"/>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59"/>
    </row>
    <row r="66" spans="1:42" hidden="1" x14ac:dyDescent="0.2"/>
    <row r="67" spans="1:42" hidden="1" x14ac:dyDescent="0.2"/>
    <row r="68" spans="1:42" hidden="1" x14ac:dyDescent="0.2"/>
    <row r="69" spans="1:42" hidden="1" x14ac:dyDescent="0.2"/>
    <row r="70" spans="1:42" hidden="1" x14ac:dyDescent="0.2"/>
  </sheetData>
  <sheetProtection algorithmName="SHA-512" hashValue="KTGoqycDDL0QdT9XnmYJbECzQPjmuLRBQeRfWJplZzzr8vvqTBjPROGR/sTf9UnfthU4B7D1OKMeyCjgd/m3rw==" saltValue="QcdIRH9e2D93UThhYHcQAA==" spinCount="100000" sheet="1" objects="1" scenarios="1" selectLockedCells="1" selectUnlockedCells="1"/>
  <mergeCells count="159">
    <mergeCell ref="AC38:AN38"/>
    <mergeCell ref="AG27:AN27"/>
    <mergeCell ref="C15:AN15"/>
    <mergeCell ref="C30:AN30"/>
    <mergeCell ref="AG26:AN26"/>
    <mergeCell ref="AG28:AN28"/>
    <mergeCell ref="C31:D31"/>
    <mergeCell ref="E31:P31"/>
    <mergeCell ref="AI16:AN16"/>
    <mergeCell ref="AI17:AN17"/>
    <mergeCell ref="AI18:AN18"/>
    <mergeCell ref="AI19:AN19"/>
    <mergeCell ref="AI20:AN20"/>
    <mergeCell ref="AI21:AN21"/>
    <mergeCell ref="C20:D20"/>
    <mergeCell ref="E19:AB19"/>
    <mergeCell ref="E20:AB20"/>
    <mergeCell ref="E21:AB21"/>
    <mergeCell ref="C25:AF25"/>
    <mergeCell ref="E16:AB16"/>
    <mergeCell ref="E17:AB17"/>
    <mergeCell ref="E18:AB18"/>
    <mergeCell ref="C22:AF22"/>
    <mergeCell ref="C23:AF23"/>
    <mergeCell ref="AC42:AN42"/>
    <mergeCell ref="C27:AF27"/>
    <mergeCell ref="C28:AF28"/>
    <mergeCell ref="AC34:AN34"/>
    <mergeCell ref="AC35:AN35"/>
    <mergeCell ref="AG23:AN23"/>
    <mergeCell ref="AG24:AN24"/>
    <mergeCell ref="AG25:AN25"/>
    <mergeCell ref="K40:P40"/>
    <mergeCell ref="Q40:V40"/>
    <mergeCell ref="W40:AB40"/>
    <mergeCell ref="K33:P38"/>
    <mergeCell ref="Q33:V38"/>
    <mergeCell ref="E32:J32"/>
    <mergeCell ref="C26:AF26"/>
    <mergeCell ref="Q31:AB31"/>
    <mergeCell ref="AC31:AN31"/>
    <mergeCell ref="AC32:AN32"/>
    <mergeCell ref="AC33:AN33"/>
    <mergeCell ref="AC39:AN39"/>
    <mergeCell ref="AC40:AN40"/>
    <mergeCell ref="AC41:AN41"/>
    <mergeCell ref="AC36:AN36"/>
    <mergeCell ref="AC37:AN37"/>
    <mergeCell ref="C51:D51"/>
    <mergeCell ref="E51:AN51"/>
    <mergeCell ref="C47:AN47"/>
    <mergeCell ref="K32:P32"/>
    <mergeCell ref="Q32:V32"/>
    <mergeCell ref="W32:AB32"/>
    <mergeCell ref="C48:AN48"/>
    <mergeCell ref="C49:AN49"/>
    <mergeCell ref="C50:D50"/>
    <mergeCell ref="E50:AN50"/>
    <mergeCell ref="C44:AN44"/>
    <mergeCell ref="K39:P39"/>
    <mergeCell ref="Q39:V39"/>
    <mergeCell ref="K41:P41"/>
    <mergeCell ref="Q41:V41"/>
    <mergeCell ref="W41:AB41"/>
    <mergeCell ref="C43:AN43"/>
    <mergeCell ref="C46:AN46"/>
    <mergeCell ref="C45:AN45"/>
    <mergeCell ref="C32:D32"/>
    <mergeCell ref="C33:D38"/>
    <mergeCell ref="E33:J38"/>
    <mergeCell ref="C39:D39"/>
    <mergeCell ref="C42:D42"/>
    <mergeCell ref="E61:M61"/>
    <mergeCell ref="E60:M60"/>
    <mergeCell ref="E59:M59"/>
    <mergeCell ref="E58:M58"/>
    <mergeCell ref="W60:AE60"/>
    <mergeCell ref="N60:V60"/>
    <mergeCell ref="C55:AN55"/>
    <mergeCell ref="C56:D56"/>
    <mergeCell ref="C54:D54"/>
    <mergeCell ref="E54:AN54"/>
    <mergeCell ref="N56:V56"/>
    <mergeCell ref="W56:AE56"/>
    <mergeCell ref="AF56:AN56"/>
    <mergeCell ref="AF59:AN59"/>
    <mergeCell ref="C57:D57"/>
    <mergeCell ref="C41:D41"/>
    <mergeCell ref="W33:AB38"/>
    <mergeCell ref="W39:AB39"/>
    <mergeCell ref="C40:D40"/>
    <mergeCell ref="C63:AN63"/>
    <mergeCell ref="AF57:AN57"/>
    <mergeCell ref="AF58:AN58"/>
    <mergeCell ref="C61:D61"/>
    <mergeCell ref="C62:AN62"/>
    <mergeCell ref="E56:M56"/>
    <mergeCell ref="AF60:AN60"/>
    <mergeCell ref="AF61:AN61"/>
    <mergeCell ref="C59:D59"/>
    <mergeCell ref="C60:D60"/>
    <mergeCell ref="W57:AE57"/>
    <mergeCell ref="W58:AE58"/>
    <mergeCell ref="W59:AE59"/>
    <mergeCell ref="N59:V59"/>
    <mergeCell ref="N57:V57"/>
    <mergeCell ref="N58:V58"/>
    <mergeCell ref="C58:D58"/>
    <mergeCell ref="E57:M57"/>
    <mergeCell ref="W61:AE61"/>
    <mergeCell ref="N61:V61"/>
    <mergeCell ref="AC18:AH18"/>
    <mergeCell ref="AC19:AH19"/>
    <mergeCell ref="AC20:AH20"/>
    <mergeCell ref="AC21:AH21"/>
    <mergeCell ref="E53:AN53"/>
    <mergeCell ref="AC3:AN3"/>
    <mergeCell ref="C3:AB3"/>
    <mergeCell ref="C4:AB4"/>
    <mergeCell ref="C14:AN14"/>
    <mergeCell ref="C8:D8"/>
    <mergeCell ref="AC4:AH4"/>
    <mergeCell ref="AI4:AN4"/>
    <mergeCell ref="C12:D12"/>
    <mergeCell ref="C13:D13"/>
    <mergeCell ref="C52:D52"/>
    <mergeCell ref="E52:AN52"/>
    <mergeCell ref="C53:D53"/>
    <mergeCell ref="K42:P42"/>
    <mergeCell ref="Q42:V42"/>
    <mergeCell ref="W42:AB42"/>
    <mergeCell ref="E42:J42"/>
    <mergeCell ref="E39:J39"/>
    <mergeCell ref="E40:J40"/>
    <mergeCell ref="E41:J41"/>
    <mergeCell ref="C5:AN5"/>
    <mergeCell ref="AG22:AN22"/>
    <mergeCell ref="C24:AF24"/>
    <mergeCell ref="H11:AN11"/>
    <mergeCell ref="C6:AN6"/>
    <mergeCell ref="C7:D7"/>
    <mergeCell ref="E7:AN7"/>
    <mergeCell ref="E8:AN8"/>
    <mergeCell ref="C9:D9"/>
    <mergeCell ref="E9:AN9"/>
    <mergeCell ref="C21:D21"/>
    <mergeCell ref="E12:AN12"/>
    <mergeCell ref="E13:AN13"/>
    <mergeCell ref="C16:D16"/>
    <mergeCell ref="C17:D17"/>
    <mergeCell ref="C18:D18"/>
    <mergeCell ref="C19:D19"/>
    <mergeCell ref="C10:D10"/>
    <mergeCell ref="C11:D11"/>
    <mergeCell ref="E10:G10"/>
    <mergeCell ref="H10:AN10"/>
    <mergeCell ref="E11:G11"/>
    <mergeCell ref="AC16:AH16"/>
    <mergeCell ref="AC17:AH17"/>
  </mergeCells>
  <printOptions horizontalCentered="1" verticalCentered="1"/>
  <pageMargins left="0.39370078740157483" right="0.39370078740157483" top="0.19685039370078741" bottom="0.19685039370078741" header="0.19685039370078741" footer="0.19685039370078741"/>
  <pageSetup paperSize="9" scale="80"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F3" sqref="F3:F8"/>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9" customWidth="1"/>
    <col min="14" max="14" width="26.140625" style="2" customWidth="1"/>
    <col min="15" max="16" width="21.140625" style="2" customWidth="1"/>
    <col min="17" max="17" width="21.140625" style="70"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6" t="s">
        <v>53</v>
      </c>
      <c r="B1" s="276">
        <f>'Illustration Data Entry'!G26</f>
        <v>0</v>
      </c>
      <c r="O1" s="77" t="s">
        <v>59</v>
      </c>
    </row>
    <row r="2" spans="1:20" ht="16.5" thickTop="1" thickBot="1" x14ac:dyDescent="0.3">
      <c r="A2" s="117" t="s">
        <v>54</v>
      </c>
      <c r="B2" s="277">
        <f>IF('Illustration Data Entry'!G28='Illustration Data Entry'!V106,'Illustration Data Entry'!N28,0)</f>
        <v>0</v>
      </c>
      <c r="D2" s="80" t="s">
        <v>55</v>
      </c>
      <c r="E2" s="80" t="s">
        <v>56</v>
      </c>
      <c r="F2" s="80" t="s">
        <v>57</v>
      </c>
      <c r="G2" s="80" t="s">
        <v>0</v>
      </c>
      <c r="H2" s="128" t="s">
        <v>85</v>
      </c>
      <c r="I2" s="128" t="s">
        <v>86</v>
      </c>
      <c r="J2" s="129" t="s">
        <v>87</v>
      </c>
      <c r="O2" s="77" t="s">
        <v>60</v>
      </c>
    </row>
    <row r="3" spans="1:20" ht="16.5" thickTop="1" thickBot="1" x14ac:dyDescent="0.3">
      <c r="A3" s="117" t="s">
        <v>58</v>
      </c>
      <c r="B3" s="278">
        <f>IF('Illustration Data Entry'!G28='Illustration Data Entry'!V107,'Illustration Data Entry'!N28,0)</f>
        <v>0</v>
      </c>
      <c r="D3" s="73">
        <f>'Illustration Data Entry'!AJ105</f>
        <v>0</v>
      </c>
      <c r="E3" s="73">
        <f>'Illustration Data Entry'!AK105</f>
        <v>249999.99</v>
      </c>
      <c r="F3" s="125">
        <f>'Illustration Data Entry'!AL105%</f>
        <v>4.7999999999999996E-3</v>
      </c>
      <c r="G3" s="74">
        <f>F3+$B$12+$B$13+$B$14</f>
        <v>4.7999999999999996E-3</v>
      </c>
      <c r="H3" s="75">
        <f t="shared" ref="H3:H8" si="0">(((E3-D3)*G3))</f>
        <v>1199.9999519999999</v>
      </c>
      <c r="I3" s="74">
        <f t="shared" ref="I3:I8" si="1">H3/12</f>
        <v>99.999995999999996</v>
      </c>
      <c r="J3" s="75">
        <f>I3</f>
        <v>99.999995999999996</v>
      </c>
      <c r="O3" s="77" t="s">
        <v>61</v>
      </c>
    </row>
    <row r="4" spans="1:20" ht="16.5" thickTop="1" thickBot="1" x14ac:dyDescent="0.3">
      <c r="A4" s="118" t="s">
        <v>26</v>
      </c>
      <c r="B4" s="33">
        <f>'Illustration Data Entry'!V158</f>
        <v>0</v>
      </c>
      <c r="D4" s="73">
        <f>'Illustration Data Entry'!AJ106</f>
        <v>250000</v>
      </c>
      <c r="E4" s="73">
        <f>'Illustration Data Entry'!AK106</f>
        <v>999999.99</v>
      </c>
      <c r="F4" s="125">
        <f>'Illustration Data Entry'!AL106%</f>
        <v>4.7999999999999996E-3</v>
      </c>
      <c r="G4" s="74">
        <f>F4+$B$12+$B$13+$B$14</f>
        <v>4.7999999999999996E-3</v>
      </c>
      <c r="H4" s="75">
        <f t="shared" si="0"/>
        <v>3599.9999519999997</v>
      </c>
      <c r="I4" s="74">
        <f t="shared" si="1"/>
        <v>299.99999599999995</v>
      </c>
      <c r="J4" s="75">
        <f>I4+J3</f>
        <v>399.99999199999996</v>
      </c>
      <c r="O4" s="77" t="s">
        <v>62</v>
      </c>
    </row>
    <row r="5" spans="1:20" ht="16.5" thickTop="1" thickBot="1" x14ac:dyDescent="0.3">
      <c r="A5" s="119" t="s">
        <v>27</v>
      </c>
      <c r="B5" s="33">
        <f>IF('Illustration Data Entry'!G26="",0,Illustration!E40/100)</f>
        <v>0</v>
      </c>
      <c r="D5" s="73">
        <f>'Illustration Data Entry'!AJ107</f>
        <v>1000000</v>
      </c>
      <c r="E5" s="73">
        <f>'Illustration Data Entry'!AK107</f>
        <v>3999999.99</v>
      </c>
      <c r="F5" s="125">
        <f>'Illustration Data Entry'!AL107%</f>
        <v>4.7999999999999996E-3</v>
      </c>
      <c r="G5" s="74">
        <f>F5+$B$12+$B$13+$B$14</f>
        <v>4.7999999999999996E-3</v>
      </c>
      <c r="H5" s="75">
        <f t="shared" si="0"/>
        <v>14399.999952</v>
      </c>
      <c r="I5" s="74">
        <f t="shared" si="1"/>
        <v>1199.999996</v>
      </c>
      <c r="J5" s="75">
        <f>I5+J4</f>
        <v>1599.999988</v>
      </c>
      <c r="Q5" s="2"/>
    </row>
    <row r="6" spans="1:20" ht="16.5" thickTop="1" thickBot="1" x14ac:dyDescent="0.3">
      <c r="A6" s="120" t="s">
        <v>28</v>
      </c>
      <c r="B6" s="33">
        <f>IF('Illustration Data Entry'!N28="",0,Illustration!Q40/100)</f>
        <v>0</v>
      </c>
      <c r="D6" s="73">
        <f>'Illustration Data Entry'!AJ108</f>
        <v>4000000</v>
      </c>
      <c r="E6" s="73">
        <f>'Illustration Data Entry'!AK108</f>
        <v>4999999.99</v>
      </c>
      <c r="F6" s="125">
        <f>'Illustration Data Entry'!AL108%</f>
        <v>4.7999999999999996E-3</v>
      </c>
      <c r="G6" s="74">
        <f>F6+$B$12+$B$13+$B$14</f>
        <v>4.7999999999999996E-3</v>
      </c>
      <c r="H6" s="75">
        <f t="shared" si="0"/>
        <v>4799.999952000001</v>
      </c>
      <c r="I6" s="74">
        <f t="shared" si="1"/>
        <v>399.99999600000007</v>
      </c>
      <c r="J6" s="75">
        <f>I6+J5</f>
        <v>1999.999984</v>
      </c>
    </row>
    <row r="7" spans="1:20" ht="16.5" thickTop="1" thickBot="1" x14ac:dyDescent="0.3">
      <c r="A7" s="116" t="s">
        <v>88</v>
      </c>
      <c r="B7" s="130" t="str">
        <f>'Illustration Data Entry'!N67</f>
        <v>Yes</v>
      </c>
      <c r="D7" s="73">
        <f>'Illustration Data Entry'!AJ109</f>
        <v>5000000</v>
      </c>
      <c r="E7" s="73">
        <f>'Illustration Data Entry'!AK109</f>
        <v>20000000</v>
      </c>
      <c r="F7" s="125">
        <f>'Illustration Data Entry'!AL109%</f>
        <v>4.7999999999999996E-3</v>
      </c>
      <c r="G7" s="74">
        <f>F7+$B$12+$B$13+$B$14</f>
        <v>4.7999999999999996E-3</v>
      </c>
      <c r="H7" s="75">
        <f t="shared" si="0"/>
        <v>72000</v>
      </c>
      <c r="I7" s="74">
        <f t="shared" si="1"/>
        <v>6000</v>
      </c>
      <c r="J7" s="75">
        <f>I7+J6</f>
        <v>7999.999984</v>
      </c>
    </row>
    <row r="8" spans="1:20" ht="16.5" thickTop="1" thickBot="1" x14ac:dyDescent="0.25">
      <c r="A8" s="116" t="s">
        <v>52</v>
      </c>
      <c r="B8" s="276">
        <f>IF(ISBLANK('Illustration Data Entry'!N63),0,IF('Illustration Data Entry'!N22="Yes",('Illustration Data Entry'!N63)*('Illustration Data Entry'!V156),0))</f>
        <v>0</v>
      </c>
      <c r="D8" s="73">
        <f>'Illustration Data Entry'!AJ110</f>
        <v>20000000.010000002</v>
      </c>
      <c r="E8" s="73">
        <f>'Illustration Data Entry'!AK110</f>
        <v>9999999999</v>
      </c>
      <c r="F8" s="125">
        <f>'Illustration Data Entry'!AL110%</f>
        <v>4.7999999999999996E-3</v>
      </c>
      <c r="G8" s="77"/>
      <c r="H8" s="75">
        <f t="shared" si="0"/>
        <v>0</v>
      </c>
      <c r="I8" s="77">
        <f t="shared" si="1"/>
        <v>0</v>
      </c>
      <c r="J8" s="75">
        <f>I8+J7</f>
        <v>7999.999984</v>
      </c>
    </row>
    <row r="9" spans="1:20" ht="16.5" thickTop="1" thickBot="1" x14ac:dyDescent="0.25">
      <c r="A9" s="116" t="s">
        <v>127</v>
      </c>
      <c r="B9" s="123" t="str">
        <f>'Illustration Data Entry'!N72</f>
        <v>1.5%</v>
      </c>
      <c r="D9" s="73">
        <f>'Illustration Data Entry'!AJ111</f>
        <v>0</v>
      </c>
      <c r="E9" s="73">
        <f>'Illustration Data Entry'!AK111</f>
        <v>0</v>
      </c>
      <c r="F9" s="125">
        <f>'Illustration Data Entry'!AL111%</f>
        <v>0</v>
      </c>
      <c r="G9" s="77"/>
      <c r="H9" s="75"/>
      <c r="I9" s="74"/>
      <c r="J9" s="75"/>
    </row>
    <row r="10" spans="1:20" ht="16.5" thickTop="1" thickBot="1" x14ac:dyDescent="0.25">
      <c r="A10" s="116" t="s">
        <v>30</v>
      </c>
      <c r="B10" s="122">
        <f>'Illustration Data Entry'!V151</f>
        <v>0.03</v>
      </c>
    </row>
    <row r="11" spans="1:20" ht="16.5" thickTop="1" thickBot="1" x14ac:dyDescent="0.25">
      <c r="A11" s="118" t="s">
        <v>80</v>
      </c>
      <c r="B11" s="124"/>
      <c r="F11" s="32"/>
    </row>
    <row r="12" spans="1:20" ht="16.5" thickTop="1" thickBot="1" x14ac:dyDescent="0.25">
      <c r="A12" s="119" t="s">
        <v>29</v>
      </c>
      <c r="B12" s="122">
        <f>'Illustration Data Entry'!K93</f>
        <v>0</v>
      </c>
      <c r="Q12" s="2"/>
    </row>
    <row r="13" spans="1:20" ht="17.25" customHeight="1" thickTop="1" thickBot="1" x14ac:dyDescent="0.25">
      <c r="A13" s="119" t="s">
        <v>31</v>
      </c>
      <c r="B13" s="122">
        <f>'Illustration Data Entry'!V159</f>
        <v>0</v>
      </c>
    </row>
    <row r="14" spans="1:20" ht="17.25" customHeight="1" thickTop="1" thickBot="1" x14ac:dyDescent="0.25">
      <c r="A14" s="203" t="s">
        <v>140</v>
      </c>
      <c r="B14" s="122">
        <f>'Illustration Data Entry'!N82</f>
        <v>0</v>
      </c>
      <c r="O14" s="52"/>
      <c r="P14" s="53" t="s">
        <v>1</v>
      </c>
      <c r="Q14" s="54" t="s">
        <v>74</v>
      </c>
      <c r="R14" s="54" t="s">
        <v>50</v>
      </c>
      <c r="S14" s="54" t="s">
        <v>25</v>
      </c>
      <c r="T14" s="55" t="s">
        <v>7</v>
      </c>
    </row>
    <row r="15" spans="1:20" ht="16.5" thickTop="1" thickBot="1" x14ac:dyDescent="0.25">
      <c r="A15" s="72" t="s">
        <v>128</v>
      </c>
      <c r="B15" s="83">
        <f>'Illustration Data Entry'!G30</f>
        <v>0</v>
      </c>
      <c r="O15" s="81" t="s">
        <v>3</v>
      </c>
      <c r="P15" s="82">
        <f>ROUND(P39,3-LEN(INT(P39)))</f>
        <v>0</v>
      </c>
      <c r="Q15" s="82">
        <f>ROUND(Q39,0)</f>
        <v>0</v>
      </c>
      <c r="R15" s="82">
        <f>ROUND(R39,3-LEN(INT(R39)))</f>
        <v>0</v>
      </c>
      <c r="S15" s="82">
        <f>ROUND(S39,3-LEN(INT(S39)))</f>
        <v>0</v>
      </c>
      <c r="T15" s="126">
        <f>ROUND(T39,3-LEN(INT(T39)))</f>
        <v>0</v>
      </c>
    </row>
    <row r="16" spans="1:20" ht="14.25" thickTop="1" thickBot="1" x14ac:dyDescent="0.25">
      <c r="A16" s="84" t="s">
        <v>89</v>
      </c>
      <c r="B16" s="85">
        <v>0</v>
      </c>
      <c r="O16" s="81" t="s">
        <v>4</v>
      </c>
      <c r="P16" s="82">
        <f>ROUND(P63,3-LEN(INT(P63)))</f>
        <v>0</v>
      </c>
      <c r="Q16" s="82">
        <f>ROUND(Q63,0)</f>
        <v>0</v>
      </c>
      <c r="R16" s="82">
        <f>ROUND(R63,3-LEN(INT(R63)))</f>
        <v>0</v>
      </c>
      <c r="S16" s="82">
        <f>ROUND(S63,3-LEN(INT(S63)))</f>
        <v>0</v>
      </c>
      <c r="T16" s="126">
        <f>ROUND(T63,3-LEN(INT(T63)))</f>
        <v>0</v>
      </c>
    </row>
    <row r="17" spans="1:35" ht="13.5" thickBot="1" x14ac:dyDescent="0.25">
      <c r="A17" s="84" t="s">
        <v>91</v>
      </c>
      <c r="B17" s="85">
        <f>B18+B19</f>
        <v>0</v>
      </c>
      <c r="O17" s="81" t="s">
        <v>5</v>
      </c>
      <c r="P17" s="82">
        <f>ROUND(P87,3-LEN(INT(P87)))</f>
        <v>0</v>
      </c>
      <c r="Q17" s="82">
        <f>ROUND(Q87,0)</f>
        <v>0</v>
      </c>
      <c r="R17" s="82">
        <f>ROUND(R87,3-LEN(INT(R87)))</f>
        <v>0</v>
      </c>
      <c r="S17" s="82">
        <f>ROUND(S87,3-LEN(INT(S87)))</f>
        <v>0</v>
      </c>
      <c r="T17" s="126">
        <f>ROUND(T87,3-LEN(INT(T87)))</f>
        <v>0</v>
      </c>
    </row>
    <row r="18" spans="1:35" ht="13.5" thickBot="1" x14ac:dyDescent="0.25">
      <c r="A18" s="71" t="s">
        <v>90</v>
      </c>
      <c r="B18" s="76">
        <f>$B8</f>
        <v>0</v>
      </c>
      <c r="O18" s="81" t="s">
        <v>6</v>
      </c>
      <c r="P18" s="86">
        <f>ROUND(P147,3-LEN(INT(P147)))</f>
        <v>0</v>
      </c>
      <c r="Q18" s="86">
        <f>ROUND(Q147,0)</f>
        <v>0</v>
      </c>
      <c r="R18" s="86">
        <f>ROUND(R147,3-LEN(INT(R147)))</f>
        <v>0</v>
      </c>
      <c r="S18" s="86">
        <f>ROUND(S147,3-LEN(INT(S147)))</f>
        <v>0</v>
      </c>
      <c r="T18" s="127">
        <f>ROUND(T147,3-LEN(INT(T147)))</f>
        <v>0</v>
      </c>
    </row>
    <row r="19" spans="1:35" ht="13.5" thickBot="1" x14ac:dyDescent="0.25">
      <c r="B19" s="76">
        <f>B1*B5</f>
        <v>0</v>
      </c>
      <c r="O19" s="88"/>
      <c r="P19" s="89" t="s">
        <v>8</v>
      </c>
      <c r="Q19" s="87"/>
      <c r="R19" s="87"/>
      <c r="S19" s="87"/>
      <c r="T19" s="90" t="e">
        <f>B25</f>
        <v>#NUM!</v>
      </c>
    </row>
    <row r="20" spans="1:35" ht="15" x14ac:dyDescent="0.2">
      <c r="A20" s="57"/>
      <c r="B20" s="57"/>
      <c r="C20" s="178">
        <v>-0.05</v>
      </c>
      <c r="D20" s="91"/>
      <c r="E20" s="91"/>
      <c r="F20" s="91"/>
      <c r="G20" s="91"/>
      <c r="H20" s="92"/>
      <c r="I20" s="91"/>
      <c r="J20" s="91"/>
      <c r="K20" s="91"/>
      <c r="L20" s="91"/>
      <c r="M20" s="93"/>
      <c r="N20" s="91"/>
      <c r="O20" s="91"/>
      <c r="P20" s="91"/>
      <c r="Q20" s="91"/>
      <c r="R20" s="91"/>
      <c r="S20" s="91"/>
      <c r="T20" s="57"/>
      <c r="U20" s="57"/>
      <c r="V20" s="57"/>
      <c r="W20" s="57"/>
      <c r="X20" s="57"/>
      <c r="Y20" s="57"/>
    </row>
    <row r="21" spans="1:35" ht="15" x14ac:dyDescent="0.2">
      <c r="A21" s="57"/>
      <c r="B21" s="57"/>
      <c r="C21" s="58"/>
      <c r="D21" s="91"/>
      <c r="E21" s="91"/>
      <c r="F21" s="91"/>
      <c r="G21" s="91"/>
      <c r="H21" s="92"/>
      <c r="I21" s="91"/>
      <c r="J21" s="91"/>
      <c r="K21" s="91"/>
      <c r="L21" s="91"/>
      <c r="M21" s="93"/>
      <c r="N21" s="91"/>
      <c r="O21" s="91"/>
      <c r="P21" s="91"/>
      <c r="Q21" s="91"/>
      <c r="R21" s="91"/>
      <c r="S21" s="91"/>
      <c r="T21" s="57"/>
      <c r="U21" s="57"/>
      <c r="V21" s="57"/>
      <c r="W21" s="57"/>
      <c r="X21" s="57"/>
      <c r="Y21" s="57"/>
    </row>
    <row r="22" spans="1:35" ht="46.5" customHeight="1" thickBot="1" x14ac:dyDescent="0.25">
      <c r="A22" s="140"/>
      <c r="B22" s="141" t="s">
        <v>92</v>
      </c>
      <c r="C22" s="141" t="s">
        <v>93</v>
      </c>
      <c r="D22" s="141" t="s">
        <v>94</v>
      </c>
      <c r="E22" s="141" t="s">
        <v>95</v>
      </c>
      <c r="F22" s="141" t="s">
        <v>96</v>
      </c>
      <c r="G22" s="142" t="s">
        <v>97</v>
      </c>
      <c r="H22" s="142" t="s">
        <v>98</v>
      </c>
      <c r="I22" s="142" t="s">
        <v>99</v>
      </c>
      <c r="J22" s="142" t="s">
        <v>100</v>
      </c>
      <c r="K22" s="141" t="s">
        <v>101</v>
      </c>
      <c r="L22" s="143" t="s">
        <v>102</v>
      </c>
      <c r="M22" s="141" t="s">
        <v>103</v>
      </c>
      <c r="N22" s="144" t="str">
        <f>"Additional Growth at "&amp;INT(100*B9)&amp;"% 
(non-fee world)"</f>
        <v>Additional Growth at 1% 
(non-fee world)</v>
      </c>
      <c r="O22" s="143" t="s">
        <v>104</v>
      </c>
      <c r="P22" s="145" t="s">
        <v>105</v>
      </c>
      <c r="Q22" s="145" t="s">
        <v>106</v>
      </c>
      <c r="R22" s="145" t="s">
        <v>107</v>
      </c>
      <c r="S22" s="145" t="s">
        <v>108</v>
      </c>
      <c r="T22" s="145" t="s">
        <v>109</v>
      </c>
      <c r="U22" s="146" t="s">
        <v>63</v>
      </c>
      <c r="V22" s="146" t="s">
        <v>64</v>
      </c>
      <c r="W22" s="146" t="s">
        <v>65</v>
      </c>
      <c r="X22" s="146" t="s">
        <v>66</v>
      </c>
      <c r="Y22" s="146" t="s">
        <v>68</v>
      </c>
      <c r="Z22" s="71"/>
    </row>
    <row r="23" spans="1:35" s="94" customFormat="1" ht="13.5" hidden="1" thickBot="1" x14ac:dyDescent="0.25">
      <c r="A23" s="147"/>
      <c r="B23" s="148"/>
      <c r="C23" s="148" t="s">
        <v>110</v>
      </c>
      <c r="D23" s="148" t="s">
        <v>110</v>
      </c>
      <c r="E23" s="148" t="s">
        <v>24</v>
      </c>
      <c r="F23" s="148" t="s">
        <v>24</v>
      </c>
      <c r="G23" s="149" t="s">
        <v>110</v>
      </c>
      <c r="H23" s="149" t="s">
        <v>110</v>
      </c>
      <c r="I23" s="149" t="s">
        <v>111</v>
      </c>
      <c r="J23" s="149" t="s">
        <v>111</v>
      </c>
      <c r="K23" s="148" t="s">
        <v>110</v>
      </c>
      <c r="L23" s="150"/>
      <c r="M23" s="148" t="s">
        <v>110</v>
      </c>
      <c r="N23" s="151" t="s">
        <v>24</v>
      </c>
      <c r="O23" s="150"/>
      <c r="P23" s="152"/>
      <c r="Q23" s="152"/>
      <c r="R23" s="152"/>
      <c r="S23" s="152"/>
      <c r="T23" s="152"/>
      <c r="U23" s="153"/>
      <c r="V23" s="153"/>
      <c r="W23" s="153"/>
      <c r="X23" s="153"/>
      <c r="Y23" s="153"/>
      <c r="Z23" s="71"/>
      <c r="AA23" s="2"/>
      <c r="AB23" s="2"/>
      <c r="AC23" s="2"/>
      <c r="AD23" s="2"/>
      <c r="AE23" s="2"/>
      <c r="AF23" s="2"/>
      <c r="AG23" s="2"/>
      <c r="AH23" s="2"/>
      <c r="AI23" s="2"/>
    </row>
    <row r="24" spans="1:35" s="95" customFormat="1" ht="133.5" hidden="1" customHeight="1" x14ac:dyDescent="0.2">
      <c r="A24" s="154"/>
      <c r="B24" s="155" t="s">
        <v>112</v>
      </c>
      <c r="C24" s="155" t="s">
        <v>113</v>
      </c>
      <c r="D24" s="155" t="s">
        <v>114</v>
      </c>
      <c r="E24" s="155" t="s">
        <v>115</v>
      </c>
      <c r="F24" s="155" t="s">
        <v>116</v>
      </c>
      <c r="G24" s="155" t="s">
        <v>117</v>
      </c>
      <c r="H24" s="156" t="s">
        <v>118</v>
      </c>
      <c r="I24" s="156" t="s">
        <v>119</v>
      </c>
      <c r="J24" s="156" t="s">
        <v>120</v>
      </c>
      <c r="K24" s="155" t="s">
        <v>121</v>
      </c>
      <c r="L24" s="157" t="s">
        <v>122</v>
      </c>
      <c r="M24" s="155" t="s">
        <v>123</v>
      </c>
      <c r="N24" s="158" t="s">
        <v>124</v>
      </c>
      <c r="O24" s="157" t="s">
        <v>125</v>
      </c>
      <c r="P24" s="159" t="s">
        <v>126</v>
      </c>
      <c r="Q24" s="159"/>
      <c r="R24" s="159"/>
      <c r="S24" s="159"/>
      <c r="T24" s="159"/>
      <c r="U24" s="160"/>
      <c r="V24" s="160"/>
      <c r="W24" s="160"/>
      <c r="X24" s="160"/>
      <c r="Y24" s="160"/>
      <c r="Z24" s="71"/>
      <c r="AA24" s="2"/>
      <c r="AB24" s="2"/>
      <c r="AC24" s="2"/>
      <c r="AD24" s="2"/>
      <c r="AE24" s="2"/>
      <c r="AF24" s="2"/>
      <c r="AG24" s="2"/>
      <c r="AH24" s="2"/>
      <c r="AI24" s="2"/>
    </row>
    <row r="25" spans="1:35" x14ac:dyDescent="0.2">
      <c r="A25" s="161" t="s">
        <v>8</v>
      </c>
      <c r="B25" s="162" t="e">
        <f>(1+IRR(B27:B147,C20))^12-1</f>
        <v>#NUM!</v>
      </c>
      <c r="C25" s="163">
        <f>B1</f>
        <v>0</v>
      </c>
      <c r="D25" s="163">
        <f>B2</f>
        <v>0</v>
      </c>
      <c r="E25" s="164" t="str">
        <f>B9</f>
        <v>1.5%</v>
      </c>
      <c r="F25" s="163"/>
      <c r="G25" s="165">
        <f>B3</f>
        <v>0</v>
      </c>
      <c r="H25" s="166">
        <f>B10</f>
        <v>0.03</v>
      </c>
      <c r="I25" s="165">
        <f>B16</f>
        <v>0</v>
      </c>
      <c r="J25" s="166"/>
      <c r="K25" s="131"/>
      <c r="L25" s="167"/>
      <c r="M25" s="131"/>
      <c r="N25" s="168"/>
      <c r="O25" s="169"/>
      <c r="P25" s="170"/>
      <c r="Q25" s="171">
        <f>C25</f>
        <v>0</v>
      </c>
      <c r="R25" s="171">
        <f>G25</f>
        <v>0</v>
      </c>
      <c r="S25" s="170"/>
      <c r="T25" s="170"/>
      <c r="U25" s="96"/>
      <c r="V25" s="96"/>
      <c r="W25" s="96"/>
      <c r="X25" s="96"/>
      <c r="Y25" s="96"/>
      <c r="Z25" s="71"/>
    </row>
    <row r="26" spans="1:35" x14ac:dyDescent="0.2">
      <c r="A26" s="172"/>
      <c r="B26" s="173"/>
      <c r="C26" s="174"/>
      <c r="D26" s="174"/>
      <c r="E26" s="175">
        <f>C28*((1+$B$9)^(1/12)-1)</f>
        <v>0</v>
      </c>
      <c r="F26" s="174"/>
      <c r="G26" s="176"/>
      <c r="H26" s="177"/>
      <c r="I26" s="176"/>
      <c r="J26" s="177"/>
      <c r="K26" s="131"/>
      <c r="L26" s="169"/>
      <c r="M26" s="131"/>
      <c r="N26" s="168"/>
      <c r="O26" s="169"/>
      <c r="P26" s="170"/>
      <c r="Q26" s="171"/>
      <c r="R26" s="171"/>
      <c r="S26" s="170"/>
      <c r="T26" s="170"/>
      <c r="U26" s="96"/>
      <c r="V26" s="96"/>
      <c r="W26" s="96"/>
      <c r="X26" s="96"/>
      <c r="Y26" s="96"/>
      <c r="Z26" s="71"/>
    </row>
    <row r="27" spans="1:35" ht="13.5" thickBot="1" x14ac:dyDescent="0.25">
      <c r="A27" s="97">
        <v>0</v>
      </c>
      <c r="B27" s="98">
        <f>-C27</f>
        <v>0</v>
      </c>
      <c r="C27" s="99">
        <f>C25-I25</f>
        <v>0</v>
      </c>
      <c r="D27" s="99"/>
      <c r="E27" s="99"/>
      <c r="F27" s="99"/>
      <c r="G27" s="98"/>
      <c r="H27" s="98"/>
      <c r="I27" s="98">
        <f>B17</f>
        <v>0</v>
      </c>
      <c r="J27" s="98"/>
      <c r="K27" s="99">
        <f>MAX(SUM(G27:J27)-SUM(C27:F27),0)</f>
        <v>0</v>
      </c>
      <c r="L27" s="100">
        <f>SUM(C27:F27)-SUM(G27:K27)+K27</f>
        <v>0</v>
      </c>
      <c r="M27" s="99"/>
      <c r="N27" s="99">
        <f>(O27-L27)</f>
        <v>0</v>
      </c>
      <c r="O27" s="100">
        <f>C27</f>
        <v>0</v>
      </c>
      <c r="P27" s="99">
        <f>SUM(N$27:N27)</f>
        <v>0</v>
      </c>
      <c r="Q27" s="99">
        <f>O27</f>
        <v>0</v>
      </c>
      <c r="R27" s="99"/>
      <c r="S27" s="99"/>
      <c r="T27" s="99"/>
      <c r="U27" s="101"/>
      <c r="V27" s="101"/>
      <c r="W27" s="101"/>
      <c r="X27" s="101"/>
      <c r="Y27" s="101"/>
      <c r="Z27" s="71"/>
    </row>
    <row r="28" spans="1:35" ht="13.5" thickTop="1" x14ac:dyDescent="0.2">
      <c r="A28" s="102">
        <v>1</v>
      </c>
      <c r="B28" s="103">
        <f t="shared" ref="B28:B56" si="2">G28+H28-D28-K28</f>
        <v>0</v>
      </c>
      <c r="C28" s="104">
        <f>L27</f>
        <v>0</v>
      </c>
      <c r="D28" s="103">
        <f t="shared" ref="D28:D91" si="3">IF(Y28&lt;&gt;"-",$B$2,0)</f>
        <v>0</v>
      </c>
      <c r="E28" s="103">
        <f t="shared" ref="E28:E91" si="4">C28*(1+$B$9)^(1/12)-C28-F28</f>
        <v>0</v>
      </c>
      <c r="F28" s="103">
        <f t="shared" ref="F28:F91" si="5">C28*(1+$B$10)^(1/12)-C28</f>
        <v>0</v>
      </c>
      <c r="G28" s="105">
        <f>IF(SUM(K$27:K27)&gt;0,0,IF(Y28&lt;&gt;"-",$B$3,0))</f>
        <v>0</v>
      </c>
      <c r="H28" s="105">
        <f t="shared" ref="H28:H91" si="6">IF($B$7="No",F28,0)</f>
        <v>0</v>
      </c>
      <c r="I28" s="105">
        <f>IF( A28&lt;12,($B$4+$B$6)*D28,IF(MOD(A28,12)=1,$B$8+($B$4+$B$6)*D28,($B$4+$B$6)*D28))</f>
        <v>0</v>
      </c>
      <c r="J28" s="105">
        <f t="shared" ref="J28:J91" si="7">VLOOKUP(C28,$D$3:$J$9,7,TRUE)-VLOOKUP(C28,$D$3:$J$9,4,TRUE)*(VLOOKUP(C28,$D$3:$J$9,2,TRUE)-C28)/12</f>
        <v>0</v>
      </c>
      <c r="K28" s="103">
        <f>MAX(SUM(G28:J28)-SUM(C28:F28),0)</f>
        <v>0</v>
      </c>
      <c r="L28" s="106">
        <f>SUM(C28:F28)-SUM(G28:J28)+K28</f>
        <v>0</v>
      </c>
      <c r="M28" s="103">
        <f>IF(SUM(K$28:K28)&gt;0,MIN(O27*(1+B$9)^(1/12),G$25-G28+K28),0)</f>
        <v>0</v>
      </c>
      <c r="N28" s="103">
        <f t="shared" ref="N28:N91" si="8">(O27-L27)*((1+B$9)^(1/12)-1)+J28+I28</f>
        <v>0</v>
      </c>
      <c r="O28" s="106">
        <f t="shared" ref="O28:O91" si="9">(O27)*(1+B$9)^(1/12)+D28-G28-H28-M28+K28/(1+B$9)</f>
        <v>0</v>
      </c>
      <c r="P28" s="103">
        <f>SUM(N$27:N28)</f>
        <v>0</v>
      </c>
      <c r="Q28" s="103">
        <f>Q27+D28</f>
        <v>0</v>
      </c>
      <c r="R28" s="103">
        <f>R27+G28</f>
        <v>0</v>
      </c>
      <c r="S28" s="103">
        <f>H28+S27</f>
        <v>0</v>
      </c>
      <c r="T28" s="103">
        <f>L28</f>
        <v>0</v>
      </c>
      <c r="U28" s="96" t="s">
        <v>67</v>
      </c>
      <c r="V28" s="96" t="str">
        <f t="shared" ref="V28:V91" si="10">IF(MOD(A28,3)=0,"q","-")</f>
        <v>-</v>
      </c>
      <c r="W28" s="96" t="str">
        <f>IF(MOD($A28,6)=0,"s","-")</f>
        <v>-</v>
      </c>
      <c r="X28" s="96" t="str">
        <f>IF(MOD($A28,12)=0,"a","-")</f>
        <v>-</v>
      </c>
      <c r="Y28" s="107" t="str">
        <f t="shared" ref="Y28:Y91" si="11">IF($B$15="Monthly",$U28,"")
&amp;IF($B$15="Quarterly",$V28,"")
&amp;IF($B$15="1/2 Yearly",$W28,"")
&amp;IF($B$15="Yearly",$X28,"")</f>
        <v/>
      </c>
      <c r="Z28" s="71"/>
    </row>
    <row r="29" spans="1:35" x14ac:dyDescent="0.2">
      <c r="A29" s="108">
        <v>2</v>
      </c>
      <c r="B29" s="109">
        <f t="shared" si="2"/>
        <v>0</v>
      </c>
      <c r="C29" s="104">
        <f>L28</f>
        <v>0</v>
      </c>
      <c r="D29" s="103">
        <f t="shared" si="3"/>
        <v>0</v>
      </c>
      <c r="E29" s="103">
        <f t="shared" si="4"/>
        <v>0</v>
      </c>
      <c r="F29" s="103">
        <f t="shared" si="5"/>
        <v>0</v>
      </c>
      <c r="G29" s="105">
        <f>IF(SUM(K$27:K28)&gt;0,0,IF(Y29&lt;&gt;"-",$B$3,0))</f>
        <v>0</v>
      </c>
      <c r="H29" s="105">
        <f t="shared" si="6"/>
        <v>0</v>
      </c>
      <c r="I29" s="105">
        <f t="shared" ref="I29:I92" si="12">IF( A29&lt;12,($B$4+$B$6)*D29,IF(MOD(A29,12)=1,$B$8+($B$4+$B$6)*D29,($B$4+$B$6)*D29))</f>
        <v>0</v>
      </c>
      <c r="J29" s="105">
        <f t="shared" si="7"/>
        <v>0</v>
      </c>
      <c r="K29" s="103">
        <f t="shared" ref="K29:K56" si="13">MAX(SUM(G29:J29)-SUM(C29:F29),0)</f>
        <v>0</v>
      </c>
      <c r="L29" s="106">
        <f>SUM(C29:F29)-SUM(G29:J29)+K29</f>
        <v>0</v>
      </c>
      <c r="M29" s="103">
        <f>IF(SUM(K$28:K29)&gt;0,MIN(O28*(1+B$9)^(1/12),G$25-G29+K29),0)</f>
        <v>0</v>
      </c>
      <c r="N29" s="103">
        <f t="shared" si="8"/>
        <v>0</v>
      </c>
      <c r="O29" s="106">
        <f t="shared" si="9"/>
        <v>0</v>
      </c>
      <c r="P29" s="103">
        <f>SUM(N$27:N29)</f>
        <v>0</v>
      </c>
      <c r="Q29" s="103">
        <f>Q28+D29</f>
        <v>0</v>
      </c>
      <c r="R29" s="103">
        <f t="shared" ref="R29:R92" si="14">R28+G29</f>
        <v>0</v>
      </c>
      <c r="S29" s="103">
        <f t="shared" ref="S29:S92" si="15">H29+S28</f>
        <v>0</v>
      </c>
      <c r="T29" s="103">
        <f t="shared" ref="T29:T92" si="16">L29</f>
        <v>0</v>
      </c>
      <c r="U29" s="96" t="s">
        <v>67</v>
      </c>
      <c r="V29" s="96" t="str">
        <f t="shared" si="10"/>
        <v>-</v>
      </c>
      <c r="W29" s="96" t="str">
        <f t="shared" ref="W29:W92" si="17">IF(MOD($A29,6)=0,"s","-")</f>
        <v>-</v>
      </c>
      <c r="X29" s="96" t="str">
        <f t="shared" ref="X29:X92" si="18">IF(MOD($A29,12)=0,"a","-")</f>
        <v>-</v>
      </c>
      <c r="Y29" s="107" t="str">
        <f t="shared" si="11"/>
        <v/>
      </c>
      <c r="Z29" s="71"/>
    </row>
    <row r="30" spans="1:35" x14ac:dyDescent="0.2">
      <c r="A30" s="108">
        <v>3</v>
      </c>
      <c r="B30" s="103">
        <f>G30+H30-D30-K30</f>
        <v>0</v>
      </c>
      <c r="C30" s="104">
        <f t="shared" ref="C30:C93" si="19">L29</f>
        <v>0</v>
      </c>
      <c r="D30" s="103">
        <f t="shared" si="3"/>
        <v>0</v>
      </c>
      <c r="E30" s="103">
        <f t="shared" si="4"/>
        <v>0</v>
      </c>
      <c r="F30" s="103">
        <f t="shared" si="5"/>
        <v>0</v>
      </c>
      <c r="G30" s="105">
        <f>IF(SUM(K$27:K29)&gt;0,0,IF(Y30&lt;&gt;"-",$B$3,0))</f>
        <v>0</v>
      </c>
      <c r="H30" s="105">
        <f t="shared" si="6"/>
        <v>0</v>
      </c>
      <c r="I30" s="105">
        <f t="shared" si="12"/>
        <v>0</v>
      </c>
      <c r="J30" s="105">
        <f t="shared" si="7"/>
        <v>0</v>
      </c>
      <c r="K30" s="103">
        <f t="shared" si="13"/>
        <v>0</v>
      </c>
      <c r="L30" s="106">
        <f t="shared" ref="L30:L56" si="20">SUM(C30:F30)-SUM(G30:J30)+K30</f>
        <v>0</v>
      </c>
      <c r="M30" s="103">
        <f>IF(SUM(K$28:K30)&gt;0,MIN(O29*(1+B$9)^(1/12),G$25-G30+K30),0)</f>
        <v>0</v>
      </c>
      <c r="N30" s="103">
        <f t="shared" si="8"/>
        <v>0</v>
      </c>
      <c r="O30" s="106">
        <f t="shared" si="9"/>
        <v>0</v>
      </c>
      <c r="P30" s="103">
        <f>SUM(N$27:N30)</f>
        <v>0</v>
      </c>
      <c r="Q30" s="103">
        <f>Q29+D30</f>
        <v>0</v>
      </c>
      <c r="R30" s="103">
        <f>R29+G30</f>
        <v>0</v>
      </c>
      <c r="S30" s="103">
        <f t="shared" si="15"/>
        <v>0</v>
      </c>
      <c r="T30" s="103">
        <f t="shared" si="16"/>
        <v>0</v>
      </c>
      <c r="U30" s="96" t="s">
        <v>67</v>
      </c>
      <c r="V30" s="96" t="str">
        <f t="shared" si="10"/>
        <v>q</v>
      </c>
      <c r="W30" s="96" t="str">
        <f t="shared" si="17"/>
        <v>-</v>
      </c>
      <c r="X30" s="96" t="str">
        <f t="shared" si="18"/>
        <v>-</v>
      </c>
      <c r="Y30" s="107" t="str">
        <f t="shared" si="11"/>
        <v/>
      </c>
      <c r="Z30" s="71"/>
    </row>
    <row r="31" spans="1:35" x14ac:dyDescent="0.2">
      <c r="A31" s="108">
        <v>4</v>
      </c>
      <c r="B31" s="103">
        <f t="shared" si="2"/>
        <v>0</v>
      </c>
      <c r="C31" s="104">
        <f t="shared" si="19"/>
        <v>0</v>
      </c>
      <c r="D31" s="103">
        <f t="shared" si="3"/>
        <v>0</v>
      </c>
      <c r="E31" s="103">
        <f t="shared" si="4"/>
        <v>0</v>
      </c>
      <c r="F31" s="103">
        <f t="shared" si="5"/>
        <v>0</v>
      </c>
      <c r="G31" s="105">
        <f>IF(SUM(K$27:K30)&gt;0,0,IF(Y31&lt;&gt;"-",$B$3,0))</f>
        <v>0</v>
      </c>
      <c r="H31" s="105">
        <f t="shared" si="6"/>
        <v>0</v>
      </c>
      <c r="I31" s="105">
        <f t="shared" si="12"/>
        <v>0</v>
      </c>
      <c r="J31" s="105">
        <f t="shared" si="7"/>
        <v>0</v>
      </c>
      <c r="K31" s="103">
        <f t="shared" si="13"/>
        <v>0</v>
      </c>
      <c r="L31" s="106">
        <f t="shared" si="20"/>
        <v>0</v>
      </c>
      <c r="M31" s="103">
        <f>IF(SUM(K$28:K31)&gt;0,MIN(O30*(1+B$9)^(1/12),G$25-G31+K31),0)</f>
        <v>0</v>
      </c>
      <c r="N31" s="103">
        <f t="shared" si="8"/>
        <v>0</v>
      </c>
      <c r="O31" s="106">
        <f t="shared" si="9"/>
        <v>0</v>
      </c>
      <c r="P31" s="103">
        <f>SUM(N$27:N31)</f>
        <v>0</v>
      </c>
      <c r="Q31" s="103">
        <f>Q30+D31</f>
        <v>0</v>
      </c>
      <c r="R31" s="103">
        <f t="shared" si="14"/>
        <v>0</v>
      </c>
      <c r="S31" s="103">
        <f>H31+S30</f>
        <v>0</v>
      </c>
      <c r="T31" s="103">
        <f>L31</f>
        <v>0</v>
      </c>
      <c r="U31" s="96" t="s">
        <v>67</v>
      </c>
      <c r="V31" s="96" t="str">
        <f t="shared" si="10"/>
        <v>-</v>
      </c>
      <c r="W31" s="96" t="str">
        <f t="shared" si="17"/>
        <v>-</v>
      </c>
      <c r="X31" s="96" t="str">
        <f t="shared" si="18"/>
        <v>-</v>
      </c>
      <c r="Y31" s="107" t="str">
        <f t="shared" si="11"/>
        <v/>
      </c>
      <c r="Z31" s="71"/>
    </row>
    <row r="32" spans="1:35" x14ac:dyDescent="0.2">
      <c r="A32" s="108">
        <v>5</v>
      </c>
      <c r="B32" s="103">
        <f>G32+H32-D32-K32</f>
        <v>0</v>
      </c>
      <c r="C32" s="104">
        <f t="shared" si="19"/>
        <v>0</v>
      </c>
      <c r="D32" s="103">
        <f t="shared" si="3"/>
        <v>0</v>
      </c>
      <c r="E32" s="103">
        <f t="shared" si="4"/>
        <v>0</v>
      </c>
      <c r="F32" s="103">
        <f t="shared" si="5"/>
        <v>0</v>
      </c>
      <c r="G32" s="105">
        <f>IF(SUM(K$27:K31)&gt;0,0,IF(Y32&lt;&gt;"-",$B$3,0))</f>
        <v>0</v>
      </c>
      <c r="H32" s="105">
        <f t="shared" si="6"/>
        <v>0</v>
      </c>
      <c r="I32" s="105">
        <f t="shared" si="12"/>
        <v>0</v>
      </c>
      <c r="J32" s="105">
        <f t="shared" si="7"/>
        <v>0</v>
      </c>
      <c r="K32" s="103">
        <f t="shared" si="13"/>
        <v>0</v>
      </c>
      <c r="L32" s="106">
        <f>SUM(C32:F32)-SUM(G32:J32)+K32</f>
        <v>0</v>
      </c>
      <c r="M32" s="103">
        <f>IF(SUM(K$28:K32)&gt;0,MIN(O31*(1+B$9)^(1/12),G$25-G32+K32),0)</f>
        <v>0</v>
      </c>
      <c r="N32" s="103">
        <f t="shared" si="8"/>
        <v>0</v>
      </c>
      <c r="O32" s="106">
        <f t="shared" si="9"/>
        <v>0</v>
      </c>
      <c r="P32" s="103">
        <f>SUM(N$27:N32)</f>
        <v>0</v>
      </c>
      <c r="Q32" s="103">
        <f t="shared" ref="Q32:Q95" si="21">Q31+D32</f>
        <v>0</v>
      </c>
      <c r="R32" s="103">
        <f t="shared" si="14"/>
        <v>0</v>
      </c>
      <c r="S32" s="103">
        <f t="shared" si="15"/>
        <v>0</v>
      </c>
      <c r="T32" s="103">
        <f t="shared" si="16"/>
        <v>0</v>
      </c>
      <c r="U32" s="96" t="s">
        <v>67</v>
      </c>
      <c r="V32" s="96" t="str">
        <f t="shared" si="10"/>
        <v>-</v>
      </c>
      <c r="W32" s="96" t="str">
        <f t="shared" si="17"/>
        <v>-</v>
      </c>
      <c r="X32" s="96" t="str">
        <f t="shared" si="18"/>
        <v>-</v>
      </c>
      <c r="Y32" s="107" t="str">
        <f t="shared" si="11"/>
        <v/>
      </c>
      <c r="Z32" s="71"/>
    </row>
    <row r="33" spans="1:26" x14ac:dyDescent="0.2">
      <c r="A33" s="108">
        <v>6</v>
      </c>
      <c r="B33" s="132">
        <f t="shared" si="2"/>
        <v>0</v>
      </c>
      <c r="C33" s="104">
        <f t="shared" si="19"/>
        <v>0</v>
      </c>
      <c r="D33" s="103">
        <f t="shared" si="3"/>
        <v>0</v>
      </c>
      <c r="E33" s="103">
        <f t="shared" si="4"/>
        <v>0</v>
      </c>
      <c r="F33" s="103">
        <f t="shared" si="5"/>
        <v>0</v>
      </c>
      <c r="G33" s="105">
        <f>IF(SUM(K$27:K32)&gt;0,0,IF(Y33&lt;&gt;"-",$B$3,0))</f>
        <v>0</v>
      </c>
      <c r="H33" s="105">
        <f t="shared" si="6"/>
        <v>0</v>
      </c>
      <c r="I33" s="105">
        <f t="shared" si="12"/>
        <v>0</v>
      </c>
      <c r="J33" s="105">
        <f t="shared" si="7"/>
        <v>0</v>
      </c>
      <c r="K33" s="103">
        <f t="shared" si="13"/>
        <v>0</v>
      </c>
      <c r="L33" s="106">
        <f t="shared" si="20"/>
        <v>0</v>
      </c>
      <c r="M33" s="103">
        <f>IF(SUM(K$28:K33)&gt;0,MIN(O32*(1+B$9)^(1/12),G$25-G33+K33),0)</f>
        <v>0</v>
      </c>
      <c r="N33" s="103">
        <f t="shared" si="8"/>
        <v>0</v>
      </c>
      <c r="O33" s="106">
        <f t="shared" si="9"/>
        <v>0</v>
      </c>
      <c r="P33" s="103">
        <f>SUM(N$27:N33)</f>
        <v>0</v>
      </c>
      <c r="Q33" s="103">
        <f t="shared" si="21"/>
        <v>0</v>
      </c>
      <c r="R33" s="103">
        <f t="shared" si="14"/>
        <v>0</v>
      </c>
      <c r="S33" s="103">
        <f t="shared" si="15"/>
        <v>0</v>
      </c>
      <c r="T33" s="103">
        <f t="shared" si="16"/>
        <v>0</v>
      </c>
      <c r="U33" s="96" t="s">
        <v>67</v>
      </c>
      <c r="V33" s="96" t="str">
        <f t="shared" si="10"/>
        <v>q</v>
      </c>
      <c r="W33" s="96" t="str">
        <f t="shared" si="17"/>
        <v>s</v>
      </c>
      <c r="X33" s="96" t="str">
        <f t="shared" si="18"/>
        <v>-</v>
      </c>
      <c r="Y33" s="107" t="str">
        <f t="shared" si="11"/>
        <v/>
      </c>
      <c r="Z33" s="71"/>
    </row>
    <row r="34" spans="1:26" x14ac:dyDescent="0.2">
      <c r="A34" s="108">
        <v>7</v>
      </c>
      <c r="B34" s="132">
        <f t="shared" si="2"/>
        <v>0</v>
      </c>
      <c r="C34" s="104">
        <f t="shared" si="19"/>
        <v>0</v>
      </c>
      <c r="D34" s="103">
        <f t="shared" si="3"/>
        <v>0</v>
      </c>
      <c r="E34" s="103">
        <f t="shared" si="4"/>
        <v>0</v>
      </c>
      <c r="F34" s="103">
        <f t="shared" si="5"/>
        <v>0</v>
      </c>
      <c r="G34" s="105">
        <f>IF(SUM(K$27:K33)&gt;0,0,IF(Y34&lt;&gt;"-",$B$3,0))</f>
        <v>0</v>
      </c>
      <c r="H34" s="105">
        <f t="shared" si="6"/>
        <v>0</v>
      </c>
      <c r="I34" s="105">
        <f t="shared" si="12"/>
        <v>0</v>
      </c>
      <c r="J34" s="105">
        <f t="shared" si="7"/>
        <v>0</v>
      </c>
      <c r="K34" s="103">
        <f t="shared" si="13"/>
        <v>0</v>
      </c>
      <c r="L34" s="106">
        <f t="shared" si="20"/>
        <v>0</v>
      </c>
      <c r="M34" s="103">
        <f>IF(SUM(K$28:K34)&gt;0,MIN(O33*(1+B$9)^(1/12),G$25-G34+K34),0)</f>
        <v>0</v>
      </c>
      <c r="N34" s="103">
        <f t="shared" si="8"/>
        <v>0</v>
      </c>
      <c r="O34" s="106">
        <f t="shared" si="9"/>
        <v>0</v>
      </c>
      <c r="P34" s="103">
        <f>SUM(N$27:N34)</f>
        <v>0</v>
      </c>
      <c r="Q34" s="103">
        <f t="shared" si="21"/>
        <v>0</v>
      </c>
      <c r="R34" s="103">
        <f t="shared" si="14"/>
        <v>0</v>
      </c>
      <c r="S34" s="103">
        <f t="shared" si="15"/>
        <v>0</v>
      </c>
      <c r="T34" s="103">
        <f t="shared" si="16"/>
        <v>0</v>
      </c>
      <c r="U34" s="96" t="s">
        <v>67</v>
      </c>
      <c r="V34" s="96" t="str">
        <f t="shared" si="10"/>
        <v>-</v>
      </c>
      <c r="W34" s="96" t="str">
        <f t="shared" si="17"/>
        <v>-</v>
      </c>
      <c r="X34" s="96" t="str">
        <f t="shared" si="18"/>
        <v>-</v>
      </c>
      <c r="Y34" s="107" t="str">
        <f t="shared" si="11"/>
        <v/>
      </c>
      <c r="Z34" s="71"/>
    </row>
    <row r="35" spans="1:26" x14ac:dyDescent="0.2">
      <c r="A35" s="108">
        <v>8</v>
      </c>
      <c r="B35" s="132">
        <f t="shared" si="2"/>
        <v>0</v>
      </c>
      <c r="C35" s="104">
        <f t="shared" si="19"/>
        <v>0</v>
      </c>
      <c r="D35" s="103">
        <f t="shared" si="3"/>
        <v>0</v>
      </c>
      <c r="E35" s="103">
        <f t="shared" si="4"/>
        <v>0</v>
      </c>
      <c r="F35" s="103">
        <f t="shared" si="5"/>
        <v>0</v>
      </c>
      <c r="G35" s="105">
        <f>IF(SUM(K$27:K34)&gt;0,0,IF(Y35&lt;&gt;"-",$B$3,0))</f>
        <v>0</v>
      </c>
      <c r="H35" s="105">
        <f t="shared" si="6"/>
        <v>0</v>
      </c>
      <c r="I35" s="105">
        <f t="shared" si="12"/>
        <v>0</v>
      </c>
      <c r="J35" s="105">
        <f t="shared" si="7"/>
        <v>0</v>
      </c>
      <c r="K35" s="103">
        <f t="shared" si="13"/>
        <v>0</v>
      </c>
      <c r="L35" s="106">
        <f t="shared" si="20"/>
        <v>0</v>
      </c>
      <c r="M35" s="103">
        <f>IF(SUM(K$28:K35)&gt;0,MIN(O34*(1+B$9)^(1/12),G$25-G35+K35),0)</f>
        <v>0</v>
      </c>
      <c r="N35" s="103">
        <f t="shared" si="8"/>
        <v>0</v>
      </c>
      <c r="O35" s="106">
        <f t="shared" si="9"/>
        <v>0</v>
      </c>
      <c r="P35" s="103">
        <f>SUM(N$27:N35)</f>
        <v>0</v>
      </c>
      <c r="Q35" s="103">
        <f t="shared" si="21"/>
        <v>0</v>
      </c>
      <c r="R35" s="103">
        <f t="shared" si="14"/>
        <v>0</v>
      </c>
      <c r="S35" s="103">
        <f t="shared" si="15"/>
        <v>0</v>
      </c>
      <c r="T35" s="103">
        <f t="shared" si="16"/>
        <v>0</v>
      </c>
      <c r="U35" s="96" t="s">
        <v>67</v>
      </c>
      <c r="V35" s="96" t="str">
        <f t="shared" si="10"/>
        <v>-</v>
      </c>
      <c r="W35" s="96" t="str">
        <f t="shared" si="17"/>
        <v>-</v>
      </c>
      <c r="X35" s="96" t="str">
        <f t="shared" si="18"/>
        <v>-</v>
      </c>
      <c r="Y35" s="107" t="str">
        <f t="shared" si="11"/>
        <v/>
      </c>
      <c r="Z35" s="71"/>
    </row>
    <row r="36" spans="1:26" x14ac:dyDescent="0.2">
      <c r="A36" s="108">
        <v>9</v>
      </c>
      <c r="B36" s="132">
        <f t="shared" si="2"/>
        <v>0</v>
      </c>
      <c r="C36" s="104">
        <f t="shared" si="19"/>
        <v>0</v>
      </c>
      <c r="D36" s="103">
        <f t="shared" si="3"/>
        <v>0</v>
      </c>
      <c r="E36" s="103">
        <f t="shared" si="4"/>
        <v>0</v>
      </c>
      <c r="F36" s="103">
        <f t="shared" si="5"/>
        <v>0</v>
      </c>
      <c r="G36" s="105">
        <f>IF(SUM(K$27:K35)&gt;0,0,IF(Y36&lt;&gt;"-",$B$3,0))</f>
        <v>0</v>
      </c>
      <c r="H36" s="105">
        <f t="shared" si="6"/>
        <v>0</v>
      </c>
      <c r="I36" s="105">
        <f t="shared" si="12"/>
        <v>0</v>
      </c>
      <c r="J36" s="105">
        <f t="shared" si="7"/>
        <v>0</v>
      </c>
      <c r="K36" s="103">
        <f t="shared" si="13"/>
        <v>0</v>
      </c>
      <c r="L36" s="106">
        <f t="shared" si="20"/>
        <v>0</v>
      </c>
      <c r="M36" s="103">
        <f>IF(SUM(K$28:K36)&gt;0,MIN(O35*(1+B$9)^(1/12),G$25-G36+K36),0)</f>
        <v>0</v>
      </c>
      <c r="N36" s="103">
        <f t="shared" si="8"/>
        <v>0</v>
      </c>
      <c r="O36" s="106">
        <f t="shared" si="9"/>
        <v>0</v>
      </c>
      <c r="P36" s="103">
        <f>SUM(N$27:N36)</f>
        <v>0</v>
      </c>
      <c r="Q36" s="103">
        <f t="shared" si="21"/>
        <v>0</v>
      </c>
      <c r="R36" s="103">
        <f t="shared" si="14"/>
        <v>0</v>
      </c>
      <c r="S36" s="103">
        <f t="shared" si="15"/>
        <v>0</v>
      </c>
      <c r="T36" s="103">
        <f t="shared" si="16"/>
        <v>0</v>
      </c>
      <c r="U36" s="96" t="s">
        <v>67</v>
      </c>
      <c r="V36" s="96" t="str">
        <f t="shared" si="10"/>
        <v>q</v>
      </c>
      <c r="W36" s="96" t="str">
        <f t="shared" si="17"/>
        <v>-</v>
      </c>
      <c r="X36" s="96" t="str">
        <f t="shared" si="18"/>
        <v>-</v>
      </c>
      <c r="Y36" s="107" t="str">
        <f t="shared" si="11"/>
        <v/>
      </c>
      <c r="Z36" s="71"/>
    </row>
    <row r="37" spans="1:26" x14ac:dyDescent="0.2">
      <c r="A37" s="108">
        <v>10</v>
      </c>
      <c r="B37" s="132">
        <f t="shared" si="2"/>
        <v>0</v>
      </c>
      <c r="C37" s="104">
        <f t="shared" si="19"/>
        <v>0</v>
      </c>
      <c r="D37" s="103">
        <f t="shared" si="3"/>
        <v>0</v>
      </c>
      <c r="E37" s="103">
        <f t="shared" si="4"/>
        <v>0</v>
      </c>
      <c r="F37" s="103">
        <f t="shared" si="5"/>
        <v>0</v>
      </c>
      <c r="G37" s="105">
        <f>IF(SUM(K$27:K36)&gt;0,0,IF(Y37&lt;&gt;"-",$B$3,0))</f>
        <v>0</v>
      </c>
      <c r="H37" s="105">
        <f t="shared" si="6"/>
        <v>0</v>
      </c>
      <c r="I37" s="105">
        <f t="shared" si="12"/>
        <v>0</v>
      </c>
      <c r="J37" s="105">
        <f t="shared" si="7"/>
        <v>0</v>
      </c>
      <c r="K37" s="103">
        <f t="shared" si="13"/>
        <v>0</v>
      </c>
      <c r="L37" s="106">
        <f t="shared" si="20"/>
        <v>0</v>
      </c>
      <c r="M37" s="103">
        <f>IF(SUM(K$28:K37)&gt;0,MIN(O36*(1+B$9)^(1/12),G$25-G37+K37),0)</f>
        <v>0</v>
      </c>
      <c r="N37" s="103">
        <f t="shared" si="8"/>
        <v>0</v>
      </c>
      <c r="O37" s="106">
        <f t="shared" si="9"/>
        <v>0</v>
      </c>
      <c r="P37" s="103">
        <f>SUM(N$27:N37)</f>
        <v>0</v>
      </c>
      <c r="Q37" s="103">
        <f t="shared" si="21"/>
        <v>0</v>
      </c>
      <c r="R37" s="103">
        <f t="shared" si="14"/>
        <v>0</v>
      </c>
      <c r="S37" s="103">
        <f t="shared" si="15"/>
        <v>0</v>
      </c>
      <c r="T37" s="103">
        <f t="shared" si="16"/>
        <v>0</v>
      </c>
      <c r="U37" s="96" t="s">
        <v>67</v>
      </c>
      <c r="V37" s="96" t="str">
        <f t="shared" si="10"/>
        <v>-</v>
      </c>
      <c r="W37" s="96" t="str">
        <f t="shared" si="17"/>
        <v>-</v>
      </c>
      <c r="X37" s="96" t="str">
        <f t="shared" si="18"/>
        <v>-</v>
      </c>
      <c r="Y37" s="107" t="str">
        <f t="shared" si="11"/>
        <v/>
      </c>
      <c r="Z37" s="71"/>
    </row>
    <row r="38" spans="1:26" x14ac:dyDescent="0.2">
      <c r="A38" s="108">
        <v>11</v>
      </c>
      <c r="B38" s="132">
        <f t="shared" si="2"/>
        <v>0</v>
      </c>
      <c r="C38" s="104">
        <f t="shared" si="19"/>
        <v>0</v>
      </c>
      <c r="D38" s="103">
        <f t="shared" si="3"/>
        <v>0</v>
      </c>
      <c r="E38" s="103">
        <f t="shared" si="4"/>
        <v>0</v>
      </c>
      <c r="F38" s="103">
        <f t="shared" si="5"/>
        <v>0</v>
      </c>
      <c r="G38" s="105">
        <f>IF(SUM(K$27:K37)&gt;0,0,IF(Y38&lt;&gt;"-",$B$3,0))</f>
        <v>0</v>
      </c>
      <c r="H38" s="105">
        <f t="shared" si="6"/>
        <v>0</v>
      </c>
      <c r="I38" s="105">
        <f t="shared" si="12"/>
        <v>0</v>
      </c>
      <c r="J38" s="105">
        <f t="shared" si="7"/>
        <v>0</v>
      </c>
      <c r="K38" s="103">
        <f t="shared" si="13"/>
        <v>0</v>
      </c>
      <c r="L38" s="106">
        <f t="shared" si="20"/>
        <v>0</v>
      </c>
      <c r="M38" s="103">
        <f>IF(SUM(K$28:K38)&gt;0,MIN(O37*(1+B$9)^(1/12),G$25-G38+K38),0)</f>
        <v>0</v>
      </c>
      <c r="N38" s="103">
        <f t="shared" si="8"/>
        <v>0</v>
      </c>
      <c r="O38" s="106">
        <f t="shared" si="9"/>
        <v>0</v>
      </c>
      <c r="P38" s="103">
        <f>SUM(N$27:N38)</f>
        <v>0</v>
      </c>
      <c r="Q38" s="103">
        <f t="shared" si="21"/>
        <v>0</v>
      </c>
      <c r="R38" s="103">
        <f t="shared" si="14"/>
        <v>0</v>
      </c>
      <c r="S38" s="103">
        <f t="shared" si="15"/>
        <v>0</v>
      </c>
      <c r="T38" s="103">
        <f t="shared" si="16"/>
        <v>0</v>
      </c>
      <c r="U38" s="96" t="s">
        <v>67</v>
      </c>
      <c r="V38" s="96" t="str">
        <f t="shared" si="10"/>
        <v>-</v>
      </c>
      <c r="W38" s="96" t="str">
        <f t="shared" si="17"/>
        <v>-</v>
      </c>
      <c r="X38" s="96" t="str">
        <f t="shared" si="18"/>
        <v>-</v>
      </c>
      <c r="Y38" s="107" t="str">
        <f t="shared" si="11"/>
        <v/>
      </c>
      <c r="Z38" s="71"/>
    </row>
    <row r="39" spans="1:26" x14ac:dyDescent="0.2">
      <c r="A39" s="110">
        <v>12</v>
      </c>
      <c r="B39" s="111">
        <f t="shared" si="2"/>
        <v>0</v>
      </c>
      <c r="C39" s="111">
        <f t="shared" si="19"/>
        <v>0</v>
      </c>
      <c r="D39" s="111">
        <f t="shared" si="3"/>
        <v>0</v>
      </c>
      <c r="E39" s="111">
        <f t="shared" si="4"/>
        <v>0</v>
      </c>
      <c r="F39" s="111">
        <f t="shared" si="5"/>
        <v>0</v>
      </c>
      <c r="G39" s="112">
        <f>IF(SUM(K$27:K38)&gt;0,0,IF(Y39&lt;&gt;"-",$B$3,0))</f>
        <v>0</v>
      </c>
      <c r="H39" s="112">
        <f t="shared" si="6"/>
        <v>0</v>
      </c>
      <c r="I39" s="112">
        <f t="shared" si="12"/>
        <v>0</v>
      </c>
      <c r="J39" s="112">
        <f t="shared" si="7"/>
        <v>0</v>
      </c>
      <c r="K39" s="111">
        <f t="shared" si="13"/>
        <v>0</v>
      </c>
      <c r="L39" s="113">
        <f>SUM(C39:F39)-SUM(G39:J39)+K39</f>
        <v>0</v>
      </c>
      <c r="M39" s="111">
        <f>IF(SUM(K$28:K39)&gt;0,MIN(O38*(1+B$9)^(1/12),G$25-G39+K39),0)</f>
        <v>0</v>
      </c>
      <c r="N39" s="111">
        <f t="shared" si="8"/>
        <v>0</v>
      </c>
      <c r="O39" s="113">
        <f t="shared" si="9"/>
        <v>0</v>
      </c>
      <c r="P39" s="111">
        <f>SUM(N$27:N39)</f>
        <v>0</v>
      </c>
      <c r="Q39" s="111">
        <f>Q38+D39</f>
        <v>0</v>
      </c>
      <c r="R39" s="111">
        <f>R38+G39</f>
        <v>0</v>
      </c>
      <c r="S39" s="111">
        <f>H39+S38</f>
        <v>0</v>
      </c>
      <c r="T39" s="111">
        <f t="shared" si="16"/>
        <v>0</v>
      </c>
      <c r="U39" s="101" t="s">
        <v>67</v>
      </c>
      <c r="V39" s="101" t="str">
        <f t="shared" si="10"/>
        <v>q</v>
      </c>
      <c r="W39" s="101" t="str">
        <f t="shared" si="17"/>
        <v>s</v>
      </c>
      <c r="X39" s="101" t="str">
        <f t="shared" si="18"/>
        <v>a</v>
      </c>
      <c r="Y39" s="107" t="str">
        <f t="shared" si="11"/>
        <v/>
      </c>
      <c r="Z39" s="71"/>
    </row>
    <row r="40" spans="1:26" x14ac:dyDescent="0.2">
      <c r="A40" s="108">
        <v>13</v>
      </c>
      <c r="B40" s="132">
        <f t="shared" si="2"/>
        <v>0</v>
      </c>
      <c r="C40" s="104">
        <f t="shared" si="19"/>
        <v>0</v>
      </c>
      <c r="D40" s="132">
        <f t="shared" si="3"/>
        <v>0</v>
      </c>
      <c r="E40" s="132">
        <f t="shared" si="4"/>
        <v>0</v>
      </c>
      <c r="F40" s="132">
        <f t="shared" si="5"/>
        <v>0</v>
      </c>
      <c r="G40" s="114">
        <f>IF(SUM(K$27:K39)&gt;0,0,IF(Y40&lt;&gt;"-",$B$3,0))</f>
        <v>0</v>
      </c>
      <c r="H40" s="114">
        <f t="shared" si="6"/>
        <v>0</v>
      </c>
      <c r="I40" s="105">
        <f t="shared" si="12"/>
        <v>0</v>
      </c>
      <c r="J40" s="105">
        <f t="shared" si="7"/>
        <v>0</v>
      </c>
      <c r="K40" s="132">
        <f t="shared" si="13"/>
        <v>0</v>
      </c>
      <c r="L40" s="133">
        <f t="shared" si="20"/>
        <v>0</v>
      </c>
      <c r="M40" s="132">
        <f>IF(SUM(K$28:K40)&gt;0,MIN(O39*(1+B$9)^(1/12),G$25-G40+K40),0)</f>
        <v>0</v>
      </c>
      <c r="N40" s="132">
        <f t="shared" si="8"/>
        <v>0</v>
      </c>
      <c r="O40" s="133">
        <f t="shared" si="9"/>
        <v>0</v>
      </c>
      <c r="P40" s="103">
        <f>SUM(N$27:N40)</f>
        <v>0</v>
      </c>
      <c r="Q40" s="103">
        <f t="shared" si="21"/>
        <v>0</v>
      </c>
      <c r="R40" s="103">
        <f t="shared" si="14"/>
        <v>0</v>
      </c>
      <c r="S40" s="103">
        <f t="shared" si="15"/>
        <v>0</v>
      </c>
      <c r="T40" s="103">
        <f t="shared" si="16"/>
        <v>0</v>
      </c>
      <c r="U40" s="96" t="s">
        <v>67</v>
      </c>
      <c r="V40" s="96" t="str">
        <f t="shared" si="10"/>
        <v>-</v>
      </c>
      <c r="W40" s="96" t="str">
        <f t="shared" si="17"/>
        <v>-</v>
      </c>
      <c r="X40" s="96" t="str">
        <f t="shared" si="18"/>
        <v>-</v>
      </c>
      <c r="Y40" s="107" t="str">
        <f t="shared" si="11"/>
        <v/>
      </c>
      <c r="Z40" s="71"/>
    </row>
    <row r="41" spans="1:26" x14ac:dyDescent="0.2">
      <c r="A41" s="108">
        <v>14</v>
      </c>
      <c r="B41" s="132">
        <f t="shared" si="2"/>
        <v>0</v>
      </c>
      <c r="C41" s="104">
        <f t="shared" si="19"/>
        <v>0</v>
      </c>
      <c r="D41" s="132">
        <f t="shared" si="3"/>
        <v>0</v>
      </c>
      <c r="E41" s="132">
        <f t="shared" si="4"/>
        <v>0</v>
      </c>
      <c r="F41" s="132">
        <f t="shared" si="5"/>
        <v>0</v>
      </c>
      <c r="G41" s="114">
        <f>IF(SUM(K$27:K40)&gt;0,0,IF(Y41&lt;&gt;"-",$B$3,0))</f>
        <v>0</v>
      </c>
      <c r="H41" s="114">
        <f t="shared" si="6"/>
        <v>0</v>
      </c>
      <c r="I41" s="105">
        <f t="shared" si="12"/>
        <v>0</v>
      </c>
      <c r="J41" s="105">
        <f t="shared" si="7"/>
        <v>0</v>
      </c>
      <c r="K41" s="132">
        <f t="shared" si="13"/>
        <v>0</v>
      </c>
      <c r="L41" s="133">
        <f t="shared" si="20"/>
        <v>0</v>
      </c>
      <c r="M41" s="132">
        <f>IF(SUM(K$28:K41)&gt;0,MIN(O40*(1+B$9)^(1/12),G$25-G41+K41),0)</f>
        <v>0</v>
      </c>
      <c r="N41" s="132">
        <f t="shared" si="8"/>
        <v>0</v>
      </c>
      <c r="O41" s="133">
        <f t="shared" si="9"/>
        <v>0</v>
      </c>
      <c r="P41" s="103">
        <f>SUM(N$27:N41)</f>
        <v>0</v>
      </c>
      <c r="Q41" s="103">
        <f t="shared" si="21"/>
        <v>0</v>
      </c>
      <c r="R41" s="103">
        <f t="shared" si="14"/>
        <v>0</v>
      </c>
      <c r="S41" s="103">
        <f t="shared" si="15"/>
        <v>0</v>
      </c>
      <c r="T41" s="103">
        <f t="shared" si="16"/>
        <v>0</v>
      </c>
      <c r="U41" s="96" t="s">
        <v>67</v>
      </c>
      <c r="V41" s="96" t="str">
        <f t="shared" si="10"/>
        <v>-</v>
      </c>
      <c r="W41" s="96" t="str">
        <f t="shared" si="17"/>
        <v>-</v>
      </c>
      <c r="X41" s="96" t="str">
        <f t="shared" si="18"/>
        <v>-</v>
      </c>
      <c r="Y41" s="107" t="str">
        <f t="shared" si="11"/>
        <v/>
      </c>
      <c r="Z41" s="71"/>
    </row>
    <row r="42" spans="1:26" x14ac:dyDescent="0.2">
      <c r="A42" s="108">
        <v>15</v>
      </c>
      <c r="B42" s="132">
        <f t="shared" si="2"/>
        <v>0</v>
      </c>
      <c r="C42" s="104">
        <f t="shared" si="19"/>
        <v>0</v>
      </c>
      <c r="D42" s="132">
        <f t="shared" si="3"/>
        <v>0</v>
      </c>
      <c r="E42" s="132">
        <f t="shared" si="4"/>
        <v>0</v>
      </c>
      <c r="F42" s="132">
        <f t="shared" si="5"/>
        <v>0</v>
      </c>
      <c r="G42" s="114">
        <f>IF(SUM(K$27:K41)&gt;0,0,IF(Y42&lt;&gt;"-",$B$3,0))</f>
        <v>0</v>
      </c>
      <c r="H42" s="114">
        <f t="shared" si="6"/>
        <v>0</v>
      </c>
      <c r="I42" s="105">
        <f t="shared" si="12"/>
        <v>0</v>
      </c>
      <c r="J42" s="105">
        <f t="shared" si="7"/>
        <v>0</v>
      </c>
      <c r="K42" s="132">
        <f t="shared" si="13"/>
        <v>0</v>
      </c>
      <c r="L42" s="133">
        <f t="shared" si="20"/>
        <v>0</v>
      </c>
      <c r="M42" s="132">
        <f>IF(SUM(K$28:K42)&gt;0,MIN(O41*(1+B$9)^(1/12),G$25-G42+K42),0)</f>
        <v>0</v>
      </c>
      <c r="N42" s="132">
        <f t="shared" si="8"/>
        <v>0</v>
      </c>
      <c r="O42" s="133">
        <f t="shared" si="9"/>
        <v>0</v>
      </c>
      <c r="P42" s="103">
        <f>SUM(N$27:N42)</f>
        <v>0</v>
      </c>
      <c r="Q42" s="103">
        <f t="shared" si="21"/>
        <v>0</v>
      </c>
      <c r="R42" s="103">
        <f t="shared" si="14"/>
        <v>0</v>
      </c>
      <c r="S42" s="103">
        <f t="shared" si="15"/>
        <v>0</v>
      </c>
      <c r="T42" s="103">
        <f t="shared" si="16"/>
        <v>0</v>
      </c>
      <c r="U42" s="96" t="s">
        <v>67</v>
      </c>
      <c r="V42" s="96" t="str">
        <f t="shared" si="10"/>
        <v>q</v>
      </c>
      <c r="W42" s="96" t="str">
        <f t="shared" si="17"/>
        <v>-</v>
      </c>
      <c r="X42" s="96" t="str">
        <f t="shared" si="18"/>
        <v>-</v>
      </c>
      <c r="Y42" s="107" t="str">
        <f t="shared" si="11"/>
        <v/>
      </c>
      <c r="Z42" s="71"/>
    </row>
    <row r="43" spans="1:26" x14ac:dyDescent="0.2">
      <c r="A43" s="108">
        <v>16</v>
      </c>
      <c r="B43" s="132">
        <f t="shared" si="2"/>
        <v>0</v>
      </c>
      <c r="C43" s="104">
        <f t="shared" si="19"/>
        <v>0</v>
      </c>
      <c r="D43" s="132">
        <f t="shared" si="3"/>
        <v>0</v>
      </c>
      <c r="E43" s="132">
        <f t="shared" si="4"/>
        <v>0</v>
      </c>
      <c r="F43" s="132">
        <f t="shared" si="5"/>
        <v>0</v>
      </c>
      <c r="G43" s="114">
        <f>IF(SUM(K$27:K42)&gt;0,0,IF(Y43&lt;&gt;"-",$B$3,0))</f>
        <v>0</v>
      </c>
      <c r="H43" s="114">
        <f t="shared" si="6"/>
        <v>0</v>
      </c>
      <c r="I43" s="105">
        <f t="shared" si="12"/>
        <v>0</v>
      </c>
      <c r="J43" s="105">
        <f t="shared" si="7"/>
        <v>0</v>
      </c>
      <c r="K43" s="132">
        <f t="shared" si="13"/>
        <v>0</v>
      </c>
      <c r="L43" s="133">
        <f t="shared" si="20"/>
        <v>0</v>
      </c>
      <c r="M43" s="132">
        <f>IF(SUM(K$28:K43)&gt;0,MIN(O42*(1+B$9)^(1/12),G$25-G43+K43),0)</f>
        <v>0</v>
      </c>
      <c r="N43" s="132">
        <f t="shared" si="8"/>
        <v>0</v>
      </c>
      <c r="O43" s="133">
        <f t="shared" si="9"/>
        <v>0</v>
      </c>
      <c r="P43" s="103">
        <f>SUM(N$27:N43)</f>
        <v>0</v>
      </c>
      <c r="Q43" s="103">
        <f t="shared" si="21"/>
        <v>0</v>
      </c>
      <c r="R43" s="103">
        <f t="shared" si="14"/>
        <v>0</v>
      </c>
      <c r="S43" s="103">
        <f t="shared" si="15"/>
        <v>0</v>
      </c>
      <c r="T43" s="103">
        <f t="shared" si="16"/>
        <v>0</v>
      </c>
      <c r="U43" s="96" t="s">
        <v>67</v>
      </c>
      <c r="V43" s="96" t="str">
        <f t="shared" si="10"/>
        <v>-</v>
      </c>
      <c r="W43" s="96" t="str">
        <f t="shared" si="17"/>
        <v>-</v>
      </c>
      <c r="X43" s="96" t="str">
        <f t="shared" si="18"/>
        <v>-</v>
      </c>
      <c r="Y43" s="107" t="str">
        <f t="shared" si="11"/>
        <v/>
      </c>
      <c r="Z43" s="71"/>
    </row>
    <row r="44" spans="1:26" x14ac:dyDescent="0.2">
      <c r="A44" s="108">
        <v>17</v>
      </c>
      <c r="B44" s="132">
        <f t="shared" si="2"/>
        <v>0</v>
      </c>
      <c r="C44" s="104">
        <f t="shared" si="19"/>
        <v>0</v>
      </c>
      <c r="D44" s="132">
        <f t="shared" si="3"/>
        <v>0</v>
      </c>
      <c r="E44" s="132">
        <f t="shared" si="4"/>
        <v>0</v>
      </c>
      <c r="F44" s="132">
        <f t="shared" si="5"/>
        <v>0</v>
      </c>
      <c r="G44" s="114">
        <f>IF(SUM(K$27:K43)&gt;0,0,IF(Y44&lt;&gt;"-",$B$3,0))</f>
        <v>0</v>
      </c>
      <c r="H44" s="114">
        <f t="shared" si="6"/>
        <v>0</v>
      </c>
      <c r="I44" s="105">
        <f t="shared" si="12"/>
        <v>0</v>
      </c>
      <c r="J44" s="105">
        <f t="shared" si="7"/>
        <v>0</v>
      </c>
      <c r="K44" s="132">
        <f t="shared" si="13"/>
        <v>0</v>
      </c>
      <c r="L44" s="133">
        <f t="shared" si="20"/>
        <v>0</v>
      </c>
      <c r="M44" s="132">
        <f>IF(SUM(K$28:K44)&gt;0,MIN(O43*(1+B$9)^(1/12),G$25-G44+K44),0)</f>
        <v>0</v>
      </c>
      <c r="N44" s="132">
        <f t="shared" si="8"/>
        <v>0</v>
      </c>
      <c r="O44" s="133">
        <f t="shared" si="9"/>
        <v>0</v>
      </c>
      <c r="P44" s="103">
        <f>SUM(N$27:N44)</f>
        <v>0</v>
      </c>
      <c r="Q44" s="103">
        <f t="shared" si="21"/>
        <v>0</v>
      </c>
      <c r="R44" s="103">
        <f t="shared" si="14"/>
        <v>0</v>
      </c>
      <c r="S44" s="103">
        <f t="shared" si="15"/>
        <v>0</v>
      </c>
      <c r="T44" s="103">
        <f t="shared" si="16"/>
        <v>0</v>
      </c>
      <c r="U44" s="96" t="s">
        <v>67</v>
      </c>
      <c r="V44" s="96" t="str">
        <f t="shared" si="10"/>
        <v>-</v>
      </c>
      <c r="W44" s="96" t="str">
        <f t="shared" si="17"/>
        <v>-</v>
      </c>
      <c r="X44" s="96" t="str">
        <f t="shared" si="18"/>
        <v>-</v>
      </c>
      <c r="Y44" s="107" t="str">
        <f t="shared" si="11"/>
        <v/>
      </c>
      <c r="Z44" s="71"/>
    </row>
    <row r="45" spans="1:26" x14ac:dyDescent="0.2">
      <c r="A45" s="108">
        <v>18</v>
      </c>
      <c r="B45" s="132">
        <f t="shared" si="2"/>
        <v>0</v>
      </c>
      <c r="C45" s="104">
        <f t="shared" si="19"/>
        <v>0</v>
      </c>
      <c r="D45" s="132">
        <f t="shared" si="3"/>
        <v>0</v>
      </c>
      <c r="E45" s="132">
        <f t="shared" si="4"/>
        <v>0</v>
      </c>
      <c r="F45" s="132">
        <f t="shared" si="5"/>
        <v>0</v>
      </c>
      <c r="G45" s="114">
        <f>IF(SUM(K$27:K44)&gt;0,0,IF(Y45&lt;&gt;"-",$B$3,0))</f>
        <v>0</v>
      </c>
      <c r="H45" s="114">
        <f t="shared" si="6"/>
        <v>0</v>
      </c>
      <c r="I45" s="105">
        <f t="shared" si="12"/>
        <v>0</v>
      </c>
      <c r="J45" s="105">
        <f t="shared" si="7"/>
        <v>0</v>
      </c>
      <c r="K45" s="132">
        <f t="shared" si="13"/>
        <v>0</v>
      </c>
      <c r="L45" s="133">
        <f t="shared" si="20"/>
        <v>0</v>
      </c>
      <c r="M45" s="132">
        <f>IF(SUM(K$28:K45)&gt;0,MIN(O44*(1+B$9)^(1/12),G$25-G45+K45),0)</f>
        <v>0</v>
      </c>
      <c r="N45" s="132">
        <f t="shared" si="8"/>
        <v>0</v>
      </c>
      <c r="O45" s="133">
        <f t="shared" si="9"/>
        <v>0</v>
      </c>
      <c r="P45" s="103">
        <f>SUM(N$27:N45)</f>
        <v>0</v>
      </c>
      <c r="Q45" s="103">
        <f t="shared" si="21"/>
        <v>0</v>
      </c>
      <c r="R45" s="103">
        <f t="shared" si="14"/>
        <v>0</v>
      </c>
      <c r="S45" s="103">
        <f t="shared" si="15"/>
        <v>0</v>
      </c>
      <c r="T45" s="103">
        <f t="shared" si="16"/>
        <v>0</v>
      </c>
      <c r="U45" s="96" t="s">
        <v>67</v>
      </c>
      <c r="V45" s="96" t="str">
        <f t="shared" si="10"/>
        <v>q</v>
      </c>
      <c r="W45" s="96" t="str">
        <f t="shared" si="17"/>
        <v>s</v>
      </c>
      <c r="X45" s="96" t="str">
        <f t="shared" si="18"/>
        <v>-</v>
      </c>
      <c r="Y45" s="107" t="str">
        <f t="shared" si="11"/>
        <v/>
      </c>
      <c r="Z45" s="71"/>
    </row>
    <row r="46" spans="1:26" x14ac:dyDescent="0.2">
      <c r="A46" s="108">
        <v>19</v>
      </c>
      <c r="B46" s="132">
        <f t="shared" si="2"/>
        <v>0</v>
      </c>
      <c r="C46" s="104">
        <f t="shared" si="19"/>
        <v>0</v>
      </c>
      <c r="D46" s="132">
        <f t="shared" si="3"/>
        <v>0</v>
      </c>
      <c r="E46" s="132">
        <f t="shared" si="4"/>
        <v>0</v>
      </c>
      <c r="F46" s="132">
        <f t="shared" si="5"/>
        <v>0</v>
      </c>
      <c r="G46" s="114">
        <f>IF(SUM(K$27:K45)&gt;0,0,IF(Y46&lt;&gt;"-",$B$3,0))</f>
        <v>0</v>
      </c>
      <c r="H46" s="114">
        <f t="shared" si="6"/>
        <v>0</v>
      </c>
      <c r="I46" s="105">
        <f t="shared" si="12"/>
        <v>0</v>
      </c>
      <c r="J46" s="105">
        <f t="shared" si="7"/>
        <v>0</v>
      </c>
      <c r="K46" s="132">
        <f t="shared" si="13"/>
        <v>0</v>
      </c>
      <c r="L46" s="133">
        <f t="shared" si="20"/>
        <v>0</v>
      </c>
      <c r="M46" s="132">
        <f>IF(SUM(K$28:K46)&gt;0,MIN(O45*(1+B$9)^(1/12),G$25-G46+K46),0)</f>
        <v>0</v>
      </c>
      <c r="N46" s="132">
        <f t="shared" si="8"/>
        <v>0</v>
      </c>
      <c r="O46" s="133">
        <f t="shared" si="9"/>
        <v>0</v>
      </c>
      <c r="P46" s="103">
        <f>SUM(N$27:N46)</f>
        <v>0</v>
      </c>
      <c r="Q46" s="103">
        <f t="shared" si="21"/>
        <v>0</v>
      </c>
      <c r="R46" s="103">
        <f t="shared" si="14"/>
        <v>0</v>
      </c>
      <c r="S46" s="103">
        <f t="shared" si="15"/>
        <v>0</v>
      </c>
      <c r="T46" s="103">
        <f t="shared" si="16"/>
        <v>0</v>
      </c>
      <c r="U46" s="96" t="s">
        <v>67</v>
      </c>
      <c r="V46" s="96" t="str">
        <f t="shared" si="10"/>
        <v>-</v>
      </c>
      <c r="W46" s="96" t="str">
        <f t="shared" si="17"/>
        <v>-</v>
      </c>
      <c r="X46" s="96" t="str">
        <f t="shared" si="18"/>
        <v>-</v>
      </c>
      <c r="Y46" s="107" t="str">
        <f t="shared" si="11"/>
        <v/>
      </c>
      <c r="Z46" s="71"/>
    </row>
    <row r="47" spans="1:26" x14ac:dyDescent="0.2">
      <c r="A47" s="108">
        <v>20</v>
      </c>
      <c r="B47" s="132">
        <f t="shared" si="2"/>
        <v>0</v>
      </c>
      <c r="C47" s="104">
        <f t="shared" si="19"/>
        <v>0</v>
      </c>
      <c r="D47" s="132">
        <f t="shared" si="3"/>
        <v>0</v>
      </c>
      <c r="E47" s="132">
        <f t="shared" si="4"/>
        <v>0</v>
      </c>
      <c r="F47" s="132">
        <f t="shared" si="5"/>
        <v>0</v>
      </c>
      <c r="G47" s="114">
        <f>IF(SUM(K$27:K46)&gt;0,0,IF(Y47&lt;&gt;"-",$B$3,0))</f>
        <v>0</v>
      </c>
      <c r="H47" s="114">
        <f t="shared" si="6"/>
        <v>0</v>
      </c>
      <c r="I47" s="105">
        <f t="shared" si="12"/>
        <v>0</v>
      </c>
      <c r="J47" s="105">
        <f t="shared" si="7"/>
        <v>0</v>
      </c>
      <c r="K47" s="132">
        <f t="shared" si="13"/>
        <v>0</v>
      </c>
      <c r="L47" s="133">
        <f t="shared" si="20"/>
        <v>0</v>
      </c>
      <c r="M47" s="132">
        <f>IF(SUM(K$28:K47)&gt;0,MIN(O46*(1+B$9)^(1/12),G$25-G47+K47),0)</f>
        <v>0</v>
      </c>
      <c r="N47" s="132">
        <f t="shared" si="8"/>
        <v>0</v>
      </c>
      <c r="O47" s="133">
        <f t="shared" si="9"/>
        <v>0</v>
      </c>
      <c r="P47" s="103">
        <f>SUM(N$27:N47)</f>
        <v>0</v>
      </c>
      <c r="Q47" s="103">
        <f t="shared" si="21"/>
        <v>0</v>
      </c>
      <c r="R47" s="103">
        <f t="shared" si="14"/>
        <v>0</v>
      </c>
      <c r="S47" s="103">
        <f t="shared" si="15"/>
        <v>0</v>
      </c>
      <c r="T47" s="103">
        <f t="shared" si="16"/>
        <v>0</v>
      </c>
      <c r="U47" s="96" t="s">
        <v>67</v>
      </c>
      <c r="V47" s="96" t="str">
        <f t="shared" si="10"/>
        <v>-</v>
      </c>
      <c r="W47" s="96" t="str">
        <f t="shared" si="17"/>
        <v>-</v>
      </c>
      <c r="X47" s="96" t="str">
        <f t="shared" si="18"/>
        <v>-</v>
      </c>
      <c r="Y47" s="107" t="str">
        <f t="shared" si="11"/>
        <v/>
      </c>
      <c r="Z47" s="71"/>
    </row>
    <row r="48" spans="1:26" x14ac:dyDescent="0.2">
      <c r="A48" s="108">
        <v>21</v>
      </c>
      <c r="B48" s="132">
        <f t="shared" si="2"/>
        <v>0</v>
      </c>
      <c r="C48" s="104">
        <f t="shared" si="19"/>
        <v>0</v>
      </c>
      <c r="D48" s="132">
        <f t="shared" si="3"/>
        <v>0</v>
      </c>
      <c r="E48" s="132">
        <f t="shared" si="4"/>
        <v>0</v>
      </c>
      <c r="F48" s="132">
        <f t="shared" si="5"/>
        <v>0</v>
      </c>
      <c r="G48" s="114">
        <f>IF(SUM(K$27:K47)&gt;0,0,IF(Y48&lt;&gt;"-",$B$3,0))</f>
        <v>0</v>
      </c>
      <c r="H48" s="114">
        <f t="shared" si="6"/>
        <v>0</v>
      </c>
      <c r="I48" s="105">
        <f t="shared" si="12"/>
        <v>0</v>
      </c>
      <c r="J48" s="105">
        <f t="shared" si="7"/>
        <v>0</v>
      </c>
      <c r="K48" s="132">
        <f t="shared" si="13"/>
        <v>0</v>
      </c>
      <c r="L48" s="133">
        <f t="shared" si="20"/>
        <v>0</v>
      </c>
      <c r="M48" s="132">
        <f>IF(SUM(K$28:K48)&gt;0,MIN(O47*(1+B$9)^(1/12),G$25-G48+K48),0)</f>
        <v>0</v>
      </c>
      <c r="N48" s="132">
        <f t="shared" si="8"/>
        <v>0</v>
      </c>
      <c r="O48" s="133">
        <f t="shared" si="9"/>
        <v>0</v>
      </c>
      <c r="P48" s="103">
        <f>SUM(N$27:N48)</f>
        <v>0</v>
      </c>
      <c r="Q48" s="103">
        <f t="shared" si="21"/>
        <v>0</v>
      </c>
      <c r="R48" s="103">
        <f t="shared" si="14"/>
        <v>0</v>
      </c>
      <c r="S48" s="103">
        <f t="shared" si="15"/>
        <v>0</v>
      </c>
      <c r="T48" s="103">
        <f t="shared" si="16"/>
        <v>0</v>
      </c>
      <c r="U48" s="96" t="s">
        <v>67</v>
      </c>
      <c r="V48" s="96" t="str">
        <f t="shared" si="10"/>
        <v>q</v>
      </c>
      <c r="W48" s="96" t="str">
        <f t="shared" si="17"/>
        <v>-</v>
      </c>
      <c r="X48" s="96" t="str">
        <f t="shared" si="18"/>
        <v>-</v>
      </c>
      <c r="Y48" s="107" t="str">
        <f t="shared" si="11"/>
        <v/>
      </c>
      <c r="Z48" s="71"/>
    </row>
    <row r="49" spans="1:26" x14ac:dyDescent="0.2">
      <c r="A49" s="108">
        <v>22</v>
      </c>
      <c r="B49" s="132">
        <f t="shared" si="2"/>
        <v>0</v>
      </c>
      <c r="C49" s="104">
        <f t="shared" si="19"/>
        <v>0</v>
      </c>
      <c r="D49" s="132">
        <f t="shared" si="3"/>
        <v>0</v>
      </c>
      <c r="E49" s="132">
        <f t="shared" si="4"/>
        <v>0</v>
      </c>
      <c r="F49" s="132">
        <f t="shared" si="5"/>
        <v>0</v>
      </c>
      <c r="G49" s="114">
        <f>IF(SUM(K$27:K48)&gt;0,0,IF(Y49&lt;&gt;"-",$B$3,0))</f>
        <v>0</v>
      </c>
      <c r="H49" s="114">
        <f t="shared" si="6"/>
        <v>0</v>
      </c>
      <c r="I49" s="105">
        <f t="shared" si="12"/>
        <v>0</v>
      </c>
      <c r="J49" s="105">
        <f t="shared" si="7"/>
        <v>0</v>
      </c>
      <c r="K49" s="132">
        <f t="shared" si="13"/>
        <v>0</v>
      </c>
      <c r="L49" s="133">
        <f t="shared" si="20"/>
        <v>0</v>
      </c>
      <c r="M49" s="132">
        <f>IF(SUM(K$28:K49)&gt;0,MIN(O48*(1+B$9)^(1/12),G$25-G49+K49),0)</f>
        <v>0</v>
      </c>
      <c r="N49" s="132">
        <f t="shared" si="8"/>
        <v>0</v>
      </c>
      <c r="O49" s="133">
        <f t="shared" si="9"/>
        <v>0</v>
      </c>
      <c r="P49" s="103">
        <f>SUM(N$27:N49)</f>
        <v>0</v>
      </c>
      <c r="Q49" s="103">
        <f t="shared" si="21"/>
        <v>0</v>
      </c>
      <c r="R49" s="103">
        <f t="shared" si="14"/>
        <v>0</v>
      </c>
      <c r="S49" s="103">
        <f t="shared" si="15"/>
        <v>0</v>
      </c>
      <c r="T49" s="103">
        <f t="shared" si="16"/>
        <v>0</v>
      </c>
      <c r="U49" s="96" t="s">
        <v>67</v>
      </c>
      <c r="V49" s="96" t="str">
        <f t="shared" si="10"/>
        <v>-</v>
      </c>
      <c r="W49" s="96" t="str">
        <f t="shared" si="17"/>
        <v>-</v>
      </c>
      <c r="X49" s="96" t="str">
        <f t="shared" si="18"/>
        <v>-</v>
      </c>
      <c r="Y49" s="107" t="str">
        <f t="shared" si="11"/>
        <v/>
      </c>
      <c r="Z49" s="71"/>
    </row>
    <row r="50" spans="1:26" x14ac:dyDescent="0.2">
      <c r="A50" s="108">
        <v>23</v>
      </c>
      <c r="B50" s="132">
        <f t="shared" si="2"/>
        <v>0</v>
      </c>
      <c r="C50" s="104">
        <f t="shared" si="19"/>
        <v>0</v>
      </c>
      <c r="D50" s="132">
        <f t="shared" si="3"/>
        <v>0</v>
      </c>
      <c r="E50" s="132">
        <f t="shared" si="4"/>
        <v>0</v>
      </c>
      <c r="F50" s="132">
        <f t="shared" si="5"/>
        <v>0</v>
      </c>
      <c r="G50" s="114">
        <f>IF(SUM(K$27:K49)&gt;0,0,IF(Y50&lt;&gt;"-",$B$3,0))</f>
        <v>0</v>
      </c>
      <c r="H50" s="114">
        <f t="shared" si="6"/>
        <v>0</v>
      </c>
      <c r="I50" s="105">
        <f t="shared" si="12"/>
        <v>0</v>
      </c>
      <c r="J50" s="105">
        <f t="shared" si="7"/>
        <v>0</v>
      </c>
      <c r="K50" s="132">
        <f t="shared" si="13"/>
        <v>0</v>
      </c>
      <c r="L50" s="133">
        <f t="shared" si="20"/>
        <v>0</v>
      </c>
      <c r="M50" s="132">
        <f>IF(SUM(K$28:K50)&gt;0,MIN(O49*(1+B$9)^(1/12),G$25-G50+K50),0)</f>
        <v>0</v>
      </c>
      <c r="N50" s="132">
        <f t="shared" si="8"/>
        <v>0</v>
      </c>
      <c r="O50" s="133">
        <f t="shared" si="9"/>
        <v>0</v>
      </c>
      <c r="P50" s="103">
        <f>SUM(N$27:N50)</f>
        <v>0</v>
      </c>
      <c r="Q50" s="103">
        <f t="shared" si="21"/>
        <v>0</v>
      </c>
      <c r="R50" s="103">
        <f t="shared" si="14"/>
        <v>0</v>
      </c>
      <c r="S50" s="103">
        <f t="shared" si="15"/>
        <v>0</v>
      </c>
      <c r="T50" s="103">
        <f t="shared" si="16"/>
        <v>0</v>
      </c>
      <c r="U50" s="96" t="s">
        <v>67</v>
      </c>
      <c r="V50" s="96" t="str">
        <f t="shared" si="10"/>
        <v>-</v>
      </c>
      <c r="W50" s="96" t="str">
        <f t="shared" si="17"/>
        <v>-</v>
      </c>
      <c r="X50" s="96" t="str">
        <f t="shared" si="18"/>
        <v>-</v>
      </c>
      <c r="Y50" s="107" t="str">
        <f t="shared" si="11"/>
        <v/>
      </c>
      <c r="Z50" s="71"/>
    </row>
    <row r="51" spans="1:26" x14ac:dyDescent="0.2">
      <c r="A51" s="110">
        <v>24</v>
      </c>
      <c r="B51" s="111">
        <f t="shared" si="2"/>
        <v>0</v>
      </c>
      <c r="C51" s="111">
        <f t="shared" si="19"/>
        <v>0</v>
      </c>
      <c r="D51" s="111">
        <f t="shared" si="3"/>
        <v>0</v>
      </c>
      <c r="E51" s="111">
        <f t="shared" si="4"/>
        <v>0</v>
      </c>
      <c r="F51" s="111">
        <f t="shared" si="5"/>
        <v>0</v>
      </c>
      <c r="G51" s="112">
        <f>IF(SUM(K$27:K50)&gt;0,0,IF(Y51&lt;&gt;"-",$B$3,0))</f>
        <v>0</v>
      </c>
      <c r="H51" s="112">
        <f t="shared" si="6"/>
        <v>0</v>
      </c>
      <c r="I51" s="112">
        <f t="shared" si="12"/>
        <v>0</v>
      </c>
      <c r="J51" s="112">
        <f t="shared" si="7"/>
        <v>0</v>
      </c>
      <c r="K51" s="111">
        <f t="shared" si="13"/>
        <v>0</v>
      </c>
      <c r="L51" s="113">
        <f t="shared" si="20"/>
        <v>0</v>
      </c>
      <c r="M51" s="111">
        <f>IF(SUM(K$28:K51)&gt;0,MIN(O50*(1+B$9)^(1/12),G$25-G51+K51),0)</f>
        <v>0</v>
      </c>
      <c r="N51" s="111">
        <f t="shared" si="8"/>
        <v>0</v>
      </c>
      <c r="O51" s="113">
        <f t="shared" si="9"/>
        <v>0</v>
      </c>
      <c r="P51" s="111">
        <f>SUM(N$27:N51)</f>
        <v>0</v>
      </c>
      <c r="Q51" s="111">
        <f t="shared" si="21"/>
        <v>0</v>
      </c>
      <c r="R51" s="111">
        <f t="shared" si="14"/>
        <v>0</v>
      </c>
      <c r="S51" s="111">
        <f t="shared" si="15"/>
        <v>0</v>
      </c>
      <c r="T51" s="111">
        <f t="shared" si="16"/>
        <v>0</v>
      </c>
      <c r="U51" s="101" t="s">
        <v>67</v>
      </c>
      <c r="V51" s="101" t="str">
        <f t="shared" si="10"/>
        <v>q</v>
      </c>
      <c r="W51" s="101" t="str">
        <f t="shared" si="17"/>
        <v>s</v>
      </c>
      <c r="X51" s="101" t="str">
        <f t="shared" si="18"/>
        <v>a</v>
      </c>
      <c r="Y51" s="107" t="str">
        <f t="shared" si="11"/>
        <v/>
      </c>
      <c r="Z51" s="71"/>
    </row>
    <row r="52" spans="1:26" x14ac:dyDescent="0.2">
      <c r="A52" s="108">
        <v>25</v>
      </c>
      <c r="B52" s="132">
        <f t="shared" si="2"/>
        <v>0</v>
      </c>
      <c r="C52" s="104">
        <f t="shared" si="19"/>
        <v>0</v>
      </c>
      <c r="D52" s="132">
        <f t="shared" si="3"/>
        <v>0</v>
      </c>
      <c r="E52" s="132">
        <f t="shared" si="4"/>
        <v>0</v>
      </c>
      <c r="F52" s="132">
        <f t="shared" si="5"/>
        <v>0</v>
      </c>
      <c r="G52" s="114">
        <f>IF(SUM(K$27:K51)&gt;0,0,IF(Y52&lt;&gt;"-",$B$3,0))</f>
        <v>0</v>
      </c>
      <c r="H52" s="114">
        <f t="shared" si="6"/>
        <v>0</v>
      </c>
      <c r="I52" s="105">
        <f t="shared" si="12"/>
        <v>0</v>
      </c>
      <c r="J52" s="105">
        <f t="shared" si="7"/>
        <v>0</v>
      </c>
      <c r="K52" s="132">
        <f t="shared" si="13"/>
        <v>0</v>
      </c>
      <c r="L52" s="133">
        <f t="shared" si="20"/>
        <v>0</v>
      </c>
      <c r="M52" s="132">
        <f>IF(SUM(K$28:K52)&gt;0,MIN(O51*(1+B$9)^(1/12),G$25-G52+K52),0)</f>
        <v>0</v>
      </c>
      <c r="N52" s="132">
        <f t="shared" si="8"/>
        <v>0</v>
      </c>
      <c r="O52" s="133">
        <f t="shared" si="9"/>
        <v>0</v>
      </c>
      <c r="P52" s="103">
        <f>SUM(N$27:N52)</f>
        <v>0</v>
      </c>
      <c r="Q52" s="103">
        <f t="shared" si="21"/>
        <v>0</v>
      </c>
      <c r="R52" s="103">
        <f t="shared" si="14"/>
        <v>0</v>
      </c>
      <c r="S52" s="103">
        <f t="shared" si="15"/>
        <v>0</v>
      </c>
      <c r="T52" s="103">
        <f t="shared" si="16"/>
        <v>0</v>
      </c>
      <c r="U52" s="96" t="s">
        <v>67</v>
      </c>
      <c r="V52" s="96" t="str">
        <f t="shared" si="10"/>
        <v>-</v>
      </c>
      <c r="W52" s="96" t="str">
        <f t="shared" si="17"/>
        <v>-</v>
      </c>
      <c r="X52" s="96" t="str">
        <f t="shared" si="18"/>
        <v>-</v>
      </c>
      <c r="Y52" s="107" t="str">
        <f t="shared" si="11"/>
        <v/>
      </c>
      <c r="Z52" s="71"/>
    </row>
    <row r="53" spans="1:26" x14ac:dyDescent="0.2">
      <c r="A53" s="108">
        <v>26</v>
      </c>
      <c r="B53" s="132">
        <f t="shared" si="2"/>
        <v>0</v>
      </c>
      <c r="C53" s="104">
        <f t="shared" si="19"/>
        <v>0</v>
      </c>
      <c r="D53" s="132">
        <f t="shared" si="3"/>
        <v>0</v>
      </c>
      <c r="E53" s="132">
        <f t="shared" si="4"/>
        <v>0</v>
      </c>
      <c r="F53" s="132">
        <f t="shared" si="5"/>
        <v>0</v>
      </c>
      <c r="G53" s="114">
        <f>IF(SUM(K$27:K52)&gt;0,0,IF(Y53&lt;&gt;"-",$B$3,0))</f>
        <v>0</v>
      </c>
      <c r="H53" s="114">
        <f t="shared" si="6"/>
        <v>0</v>
      </c>
      <c r="I53" s="105">
        <f t="shared" si="12"/>
        <v>0</v>
      </c>
      <c r="J53" s="105">
        <f t="shared" si="7"/>
        <v>0</v>
      </c>
      <c r="K53" s="132">
        <f t="shared" si="13"/>
        <v>0</v>
      </c>
      <c r="L53" s="133">
        <f t="shared" si="20"/>
        <v>0</v>
      </c>
      <c r="M53" s="132">
        <f>IF(SUM(K$28:K53)&gt;0,MIN(O52*(1+B$9)^(1/12),G$25-G53+K53),0)</f>
        <v>0</v>
      </c>
      <c r="N53" s="132">
        <f t="shared" si="8"/>
        <v>0</v>
      </c>
      <c r="O53" s="133">
        <f t="shared" si="9"/>
        <v>0</v>
      </c>
      <c r="P53" s="103">
        <f>SUM(N$27:N53)</f>
        <v>0</v>
      </c>
      <c r="Q53" s="103">
        <f t="shared" si="21"/>
        <v>0</v>
      </c>
      <c r="R53" s="103">
        <f t="shared" si="14"/>
        <v>0</v>
      </c>
      <c r="S53" s="103">
        <f t="shared" si="15"/>
        <v>0</v>
      </c>
      <c r="T53" s="103">
        <f t="shared" si="16"/>
        <v>0</v>
      </c>
      <c r="U53" s="96" t="s">
        <v>67</v>
      </c>
      <c r="V53" s="96" t="str">
        <f t="shared" si="10"/>
        <v>-</v>
      </c>
      <c r="W53" s="96" t="str">
        <f t="shared" si="17"/>
        <v>-</v>
      </c>
      <c r="X53" s="96" t="str">
        <f t="shared" si="18"/>
        <v>-</v>
      </c>
      <c r="Y53" s="107" t="str">
        <f t="shared" si="11"/>
        <v/>
      </c>
      <c r="Z53" s="71"/>
    </row>
    <row r="54" spans="1:26" x14ac:dyDescent="0.2">
      <c r="A54" s="108">
        <v>27</v>
      </c>
      <c r="B54" s="132">
        <f t="shared" si="2"/>
        <v>0</v>
      </c>
      <c r="C54" s="104">
        <f t="shared" si="19"/>
        <v>0</v>
      </c>
      <c r="D54" s="132">
        <f t="shared" si="3"/>
        <v>0</v>
      </c>
      <c r="E54" s="132">
        <f t="shared" si="4"/>
        <v>0</v>
      </c>
      <c r="F54" s="132">
        <f t="shared" si="5"/>
        <v>0</v>
      </c>
      <c r="G54" s="114">
        <f>IF(SUM(K$27:K53)&gt;0,0,IF(Y54&lt;&gt;"-",$B$3,0))</f>
        <v>0</v>
      </c>
      <c r="H54" s="114">
        <f t="shared" si="6"/>
        <v>0</v>
      </c>
      <c r="I54" s="105">
        <f t="shared" si="12"/>
        <v>0</v>
      </c>
      <c r="J54" s="105">
        <f t="shared" si="7"/>
        <v>0</v>
      </c>
      <c r="K54" s="132">
        <f t="shared" si="13"/>
        <v>0</v>
      </c>
      <c r="L54" s="133">
        <f t="shared" si="20"/>
        <v>0</v>
      </c>
      <c r="M54" s="132">
        <f>IF(SUM(K$28:K54)&gt;0,MIN(O53*(1+B$9)^(1/12),G$25-G54+K54),0)</f>
        <v>0</v>
      </c>
      <c r="N54" s="132">
        <f t="shared" si="8"/>
        <v>0</v>
      </c>
      <c r="O54" s="133">
        <f t="shared" si="9"/>
        <v>0</v>
      </c>
      <c r="P54" s="103">
        <f>SUM(N$27:N54)</f>
        <v>0</v>
      </c>
      <c r="Q54" s="103">
        <f t="shared" si="21"/>
        <v>0</v>
      </c>
      <c r="R54" s="103">
        <f t="shared" si="14"/>
        <v>0</v>
      </c>
      <c r="S54" s="103">
        <f t="shared" si="15"/>
        <v>0</v>
      </c>
      <c r="T54" s="103">
        <f t="shared" si="16"/>
        <v>0</v>
      </c>
      <c r="U54" s="96" t="s">
        <v>67</v>
      </c>
      <c r="V54" s="96" t="str">
        <f t="shared" si="10"/>
        <v>q</v>
      </c>
      <c r="W54" s="96" t="str">
        <f t="shared" si="17"/>
        <v>-</v>
      </c>
      <c r="X54" s="96" t="str">
        <f t="shared" si="18"/>
        <v>-</v>
      </c>
      <c r="Y54" s="107" t="str">
        <f t="shared" si="11"/>
        <v/>
      </c>
      <c r="Z54" s="71"/>
    </row>
    <row r="55" spans="1:26" x14ac:dyDescent="0.2">
      <c r="A55" s="108">
        <v>28</v>
      </c>
      <c r="B55" s="132">
        <f t="shared" si="2"/>
        <v>0</v>
      </c>
      <c r="C55" s="104">
        <f t="shared" si="19"/>
        <v>0</v>
      </c>
      <c r="D55" s="132">
        <f t="shared" si="3"/>
        <v>0</v>
      </c>
      <c r="E55" s="132">
        <f t="shared" si="4"/>
        <v>0</v>
      </c>
      <c r="F55" s="132">
        <f t="shared" si="5"/>
        <v>0</v>
      </c>
      <c r="G55" s="114">
        <f>IF(SUM(K$27:K54)&gt;0,0,IF(Y55&lt;&gt;"-",$B$3,0))</f>
        <v>0</v>
      </c>
      <c r="H55" s="114">
        <f t="shared" si="6"/>
        <v>0</v>
      </c>
      <c r="I55" s="105">
        <f t="shared" si="12"/>
        <v>0</v>
      </c>
      <c r="J55" s="105">
        <f t="shared" si="7"/>
        <v>0</v>
      </c>
      <c r="K55" s="132">
        <f t="shared" si="13"/>
        <v>0</v>
      </c>
      <c r="L55" s="133">
        <f t="shared" si="20"/>
        <v>0</v>
      </c>
      <c r="M55" s="132">
        <f>IF(SUM(K$28:K55)&gt;0,MIN(O54*(1+B$9)^(1/12),G$25-G55+K55),0)</f>
        <v>0</v>
      </c>
      <c r="N55" s="132">
        <f t="shared" si="8"/>
        <v>0</v>
      </c>
      <c r="O55" s="133">
        <f t="shared" si="9"/>
        <v>0</v>
      </c>
      <c r="P55" s="103">
        <f>SUM(N$27:N55)</f>
        <v>0</v>
      </c>
      <c r="Q55" s="103">
        <f t="shared" si="21"/>
        <v>0</v>
      </c>
      <c r="R55" s="103">
        <f t="shared" si="14"/>
        <v>0</v>
      </c>
      <c r="S55" s="103">
        <f t="shared" si="15"/>
        <v>0</v>
      </c>
      <c r="T55" s="103">
        <f t="shared" si="16"/>
        <v>0</v>
      </c>
      <c r="U55" s="96" t="s">
        <v>67</v>
      </c>
      <c r="V55" s="96" t="str">
        <f t="shared" si="10"/>
        <v>-</v>
      </c>
      <c r="W55" s="96" t="str">
        <f t="shared" si="17"/>
        <v>-</v>
      </c>
      <c r="X55" s="96" t="str">
        <f t="shared" si="18"/>
        <v>-</v>
      </c>
      <c r="Y55" s="107" t="str">
        <f t="shared" si="11"/>
        <v/>
      </c>
      <c r="Z55" s="71"/>
    </row>
    <row r="56" spans="1:26" x14ac:dyDescent="0.2">
      <c r="A56" s="108">
        <v>29</v>
      </c>
      <c r="B56" s="132">
        <f t="shared" si="2"/>
        <v>0</v>
      </c>
      <c r="C56" s="104">
        <f t="shared" si="19"/>
        <v>0</v>
      </c>
      <c r="D56" s="132">
        <f t="shared" si="3"/>
        <v>0</v>
      </c>
      <c r="E56" s="132">
        <f t="shared" si="4"/>
        <v>0</v>
      </c>
      <c r="F56" s="132">
        <f t="shared" si="5"/>
        <v>0</v>
      </c>
      <c r="G56" s="114">
        <f>IF(SUM(K$27:K55)&gt;0,0,IF(Y56&lt;&gt;"-",$B$3,0))</f>
        <v>0</v>
      </c>
      <c r="H56" s="114">
        <f t="shared" si="6"/>
        <v>0</v>
      </c>
      <c r="I56" s="105">
        <f t="shared" si="12"/>
        <v>0</v>
      </c>
      <c r="J56" s="105">
        <f t="shared" si="7"/>
        <v>0</v>
      </c>
      <c r="K56" s="132">
        <f t="shared" si="13"/>
        <v>0</v>
      </c>
      <c r="L56" s="133">
        <f t="shared" si="20"/>
        <v>0</v>
      </c>
      <c r="M56" s="132">
        <f>IF(SUM(K$28:K56)&gt;0,MIN(O55*(1+B$9)^(1/12),G$25-G56+K56),0)</f>
        <v>0</v>
      </c>
      <c r="N56" s="132">
        <f t="shared" si="8"/>
        <v>0</v>
      </c>
      <c r="O56" s="133">
        <f t="shared" si="9"/>
        <v>0</v>
      </c>
      <c r="P56" s="103">
        <f>SUM(N$27:N56)</f>
        <v>0</v>
      </c>
      <c r="Q56" s="103">
        <f t="shared" si="21"/>
        <v>0</v>
      </c>
      <c r="R56" s="103">
        <f t="shared" si="14"/>
        <v>0</v>
      </c>
      <c r="S56" s="103">
        <f t="shared" si="15"/>
        <v>0</v>
      </c>
      <c r="T56" s="103">
        <f t="shared" si="16"/>
        <v>0</v>
      </c>
      <c r="U56" s="96" t="s">
        <v>67</v>
      </c>
      <c r="V56" s="96" t="str">
        <f t="shared" si="10"/>
        <v>-</v>
      </c>
      <c r="W56" s="96" t="str">
        <f t="shared" si="17"/>
        <v>-</v>
      </c>
      <c r="X56" s="96" t="str">
        <f t="shared" si="18"/>
        <v>-</v>
      </c>
      <c r="Y56" s="107" t="str">
        <f t="shared" si="11"/>
        <v/>
      </c>
      <c r="Z56" s="71"/>
    </row>
    <row r="57" spans="1:26" x14ac:dyDescent="0.2">
      <c r="A57" s="108">
        <v>30</v>
      </c>
      <c r="B57" s="132">
        <f>G57+H57-D57-K57</f>
        <v>0</v>
      </c>
      <c r="C57" s="104">
        <f t="shared" si="19"/>
        <v>0</v>
      </c>
      <c r="D57" s="132">
        <f t="shared" si="3"/>
        <v>0</v>
      </c>
      <c r="E57" s="132">
        <f t="shared" si="4"/>
        <v>0</v>
      </c>
      <c r="F57" s="132">
        <f t="shared" si="5"/>
        <v>0</v>
      </c>
      <c r="G57" s="114">
        <f>IF(SUM(K$27:K56)&gt;0,0,IF(Y57&lt;&gt;"-",$B$3,0))</f>
        <v>0</v>
      </c>
      <c r="H57" s="114">
        <f t="shared" si="6"/>
        <v>0</v>
      </c>
      <c r="I57" s="105">
        <f t="shared" si="12"/>
        <v>0</v>
      </c>
      <c r="J57" s="105">
        <f t="shared" si="7"/>
        <v>0</v>
      </c>
      <c r="K57" s="132">
        <f>MAX(SUM(G57:J57)-SUM(C57:F57),0)</f>
        <v>0</v>
      </c>
      <c r="L57" s="133">
        <f>SUM(C57:F57)-SUM(G57:J57)+K57</f>
        <v>0</v>
      </c>
      <c r="M57" s="132">
        <f>IF(SUM(K$28:K57)&gt;0,MIN(O56*(1+B$9)^(1/12),G$25-G57+K57),0)</f>
        <v>0</v>
      </c>
      <c r="N57" s="132">
        <f t="shared" si="8"/>
        <v>0</v>
      </c>
      <c r="O57" s="133">
        <f t="shared" si="9"/>
        <v>0</v>
      </c>
      <c r="P57" s="103">
        <f>SUM(N$27:N57)</f>
        <v>0</v>
      </c>
      <c r="Q57" s="103">
        <f t="shared" si="21"/>
        <v>0</v>
      </c>
      <c r="R57" s="103">
        <f t="shared" si="14"/>
        <v>0</v>
      </c>
      <c r="S57" s="103">
        <f t="shared" si="15"/>
        <v>0</v>
      </c>
      <c r="T57" s="103">
        <f t="shared" si="16"/>
        <v>0</v>
      </c>
      <c r="U57" s="96" t="s">
        <v>67</v>
      </c>
      <c r="V57" s="96" t="str">
        <f t="shared" si="10"/>
        <v>q</v>
      </c>
      <c r="W57" s="96" t="str">
        <f t="shared" si="17"/>
        <v>s</v>
      </c>
      <c r="X57" s="96" t="str">
        <f t="shared" si="18"/>
        <v>-</v>
      </c>
      <c r="Y57" s="107" t="str">
        <f t="shared" si="11"/>
        <v/>
      </c>
      <c r="Z57" s="71"/>
    </row>
    <row r="58" spans="1:26" x14ac:dyDescent="0.2">
      <c r="A58" s="108">
        <v>31</v>
      </c>
      <c r="B58" s="132">
        <f t="shared" ref="B58:B121" si="22">G58+H58-D58-K58</f>
        <v>0</v>
      </c>
      <c r="C58" s="104">
        <f t="shared" si="19"/>
        <v>0</v>
      </c>
      <c r="D58" s="132">
        <f t="shared" si="3"/>
        <v>0</v>
      </c>
      <c r="E58" s="132">
        <f t="shared" si="4"/>
        <v>0</v>
      </c>
      <c r="F58" s="132">
        <f t="shared" si="5"/>
        <v>0</v>
      </c>
      <c r="G58" s="114">
        <f>IF(SUM(K$27:K57)&gt;0,0,IF(Y58&lt;&gt;"-",$B$3,0))</f>
        <v>0</v>
      </c>
      <c r="H58" s="114">
        <f t="shared" si="6"/>
        <v>0</v>
      </c>
      <c r="I58" s="105">
        <f t="shared" si="12"/>
        <v>0</v>
      </c>
      <c r="J58" s="105">
        <f t="shared" si="7"/>
        <v>0</v>
      </c>
      <c r="K58" s="132">
        <f t="shared" ref="K58:K121" si="23">MAX(SUM(G58:J58)-SUM(C58:F58),0)</f>
        <v>0</v>
      </c>
      <c r="L58" s="133">
        <f t="shared" ref="L58:L121" si="24">SUM(C58:F58)-SUM(G58:J58)+K58</f>
        <v>0</v>
      </c>
      <c r="M58" s="132">
        <f>IF(SUM(K$28:K58)&gt;0,MIN(O57*(1+B$9)^(1/12),G$25-G58+K58),0)</f>
        <v>0</v>
      </c>
      <c r="N58" s="132">
        <f t="shared" si="8"/>
        <v>0</v>
      </c>
      <c r="O58" s="133">
        <f t="shared" si="9"/>
        <v>0</v>
      </c>
      <c r="P58" s="103">
        <f>SUM(N$27:N58)</f>
        <v>0</v>
      </c>
      <c r="Q58" s="103">
        <f t="shared" si="21"/>
        <v>0</v>
      </c>
      <c r="R58" s="103">
        <f t="shared" si="14"/>
        <v>0</v>
      </c>
      <c r="S58" s="103">
        <f t="shared" si="15"/>
        <v>0</v>
      </c>
      <c r="T58" s="103">
        <f t="shared" si="16"/>
        <v>0</v>
      </c>
      <c r="U58" s="96" t="s">
        <v>67</v>
      </c>
      <c r="V58" s="96" t="str">
        <f t="shared" si="10"/>
        <v>-</v>
      </c>
      <c r="W58" s="96" t="str">
        <f t="shared" si="17"/>
        <v>-</v>
      </c>
      <c r="X58" s="96" t="str">
        <f t="shared" si="18"/>
        <v>-</v>
      </c>
      <c r="Y58" s="107" t="str">
        <f t="shared" si="11"/>
        <v/>
      </c>
      <c r="Z58" s="71"/>
    </row>
    <row r="59" spans="1:26" x14ac:dyDescent="0.2">
      <c r="A59" s="108">
        <v>32</v>
      </c>
      <c r="B59" s="132">
        <f t="shared" si="22"/>
        <v>0</v>
      </c>
      <c r="C59" s="104">
        <f t="shared" si="19"/>
        <v>0</v>
      </c>
      <c r="D59" s="132">
        <f t="shared" si="3"/>
        <v>0</v>
      </c>
      <c r="E59" s="132">
        <f t="shared" si="4"/>
        <v>0</v>
      </c>
      <c r="F59" s="132">
        <f t="shared" si="5"/>
        <v>0</v>
      </c>
      <c r="G59" s="114">
        <f>IF(SUM(K$27:K58)&gt;0,0,IF(Y59&lt;&gt;"-",$B$3,0))</f>
        <v>0</v>
      </c>
      <c r="H59" s="114">
        <f t="shared" si="6"/>
        <v>0</v>
      </c>
      <c r="I59" s="105">
        <f t="shared" si="12"/>
        <v>0</v>
      </c>
      <c r="J59" s="105">
        <f t="shared" si="7"/>
        <v>0</v>
      </c>
      <c r="K59" s="132">
        <f t="shared" si="23"/>
        <v>0</v>
      </c>
      <c r="L59" s="133">
        <f t="shared" si="24"/>
        <v>0</v>
      </c>
      <c r="M59" s="132">
        <f>IF(SUM(K$28:K59)&gt;0,MIN(O58*(1+B$9)^(1/12),G$25-G59+K59),0)</f>
        <v>0</v>
      </c>
      <c r="N59" s="132">
        <f t="shared" si="8"/>
        <v>0</v>
      </c>
      <c r="O59" s="133">
        <f t="shared" si="9"/>
        <v>0</v>
      </c>
      <c r="P59" s="103">
        <f>SUM(N$27:N59)</f>
        <v>0</v>
      </c>
      <c r="Q59" s="103">
        <f t="shared" si="21"/>
        <v>0</v>
      </c>
      <c r="R59" s="103">
        <f t="shared" si="14"/>
        <v>0</v>
      </c>
      <c r="S59" s="103">
        <f t="shared" si="15"/>
        <v>0</v>
      </c>
      <c r="T59" s="103">
        <f t="shared" si="16"/>
        <v>0</v>
      </c>
      <c r="U59" s="96" t="s">
        <v>67</v>
      </c>
      <c r="V59" s="96" t="str">
        <f t="shared" si="10"/>
        <v>-</v>
      </c>
      <c r="W59" s="96" t="str">
        <f t="shared" si="17"/>
        <v>-</v>
      </c>
      <c r="X59" s="96" t="str">
        <f t="shared" si="18"/>
        <v>-</v>
      </c>
      <c r="Y59" s="107" t="str">
        <f t="shared" si="11"/>
        <v/>
      </c>
      <c r="Z59" s="71"/>
    </row>
    <row r="60" spans="1:26" x14ac:dyDescent="0.2">
      <c r="A60" s="108">
        <v>33</v>
      </c>
      <c r="B60" s="132">
        <f t="shared" si="22"/>
        <v>0</v>
      </c>
      <c r="C60" s="104">
        <f t="shared" si="19"/>
        <v>0</v>
      </c>
      <c r="D60" s="132">
        <f t="shared" si="3"/>
        <v>0</v>
      </c>
      <c r="E60" s="132">
        <f t="shared" si="4"/>
        <v>0</v>
      </c>
      <c r="F60" s="132">
        <f t="shared" si="5"/>
        <v>0</v>
      </c>
      <c r="G60" s="114">
        <f>IF(SUM(K$27:K59)&gt;0,0,IF(Y60&lt;&gt;"-",$B$3,0))</f>
        <v>0</v>
      </c>
      <c r="H60" s="114">
        <f t="shared" si="6"/>
        <v>0</v>
      </c>
      <c r="I60" s="105">
        <f t="shared" si="12"/>
        <v>0</v>
      </c>
      <c r="J60" s="105">
        <f t="shared" si="7"/>
        <v>0</v>
      </c>
      <c r="K60" s="132">
        <f t="shared" si="23"/>
        <v>0</v>
      </c>
      <c r="L60" s="133">
        <f t="shared" si="24"/>
        <v>0</v>
      </c>
      <c r="M60" s="132">
        <f>IF(SUM(K$28:K60)&gt;0,MIN(O59*(1+B$9)^(1/12),G$25-G60+K60),0)</f>
        <v>0</v>
      </c>
      <c r="N60" s="132">
        <f t="shared" si="8"/>
        <v>0</v>
      </c>
      <c r="O60" s="133">
        <f t="shared" si="9"/>
        <v>0</v>
      </c>
      <c r="P60" s="103">
        <f>SUM(N$27:N60)</f>
        <v>0</v>
      </c>
      <c r="Q60" s="103">
        <f t="shared" si="21"/>
        <v>0</v>
      </c>
      <c r="R60" s="103">
        <f t="shared" si="14"/>
        <v>0</v>
      </c>
      <c r="S60" s="103">
        <f t="shared" si="15"/>
        <v>0</v>
      </c>
      <c r="T60" s="103">
        <f t="shared" si="16"/>
        <v>0</v>
      </c>
      <c r="U60" s="96" t="s">
        <v>67</v>
      </c>
      <c r="V60" s="96" t="str">
        <f t="shared" si="10"/>
        <v>q</v>
      </c>
      <c r="W60" s="96" t="str">
        <f t="shared" si="17"/>
        <v>-</v>
      </c>
      <c r="X60" s="96" t="str">
        <f t="shared" si="18"/>
        <v>-</v>
      </c>
      <c r="Y60" s="107" t="str">
        <f t="shared" si="11"/>
        <v/>
      </c>
      <c r="Z60" s="71"/>
    </row>
    <row r="61" spans="1:26" x14ac:dyDescent="0.2">
      <c r="A61" s="108">
        <v>34</v>
      </c>
      <c r="B61" s="132">
        <f t="shared" si="22"/>
        <v>0</v>
      </c>
      <c r="C61" s="104">
        <f t="shared" si="19"/>
        <v>0</v>
      </c>
      <c r="D61" s="132">
        <f t="shared" si="3"/>
        <v>0</v>
      </c>
      <c r="E61" s="132">
        <f t="shared" si="4"/>
        <v>0</v>
      </c>
      <c r="F61" s="132">
        <f t="shared" si="5"/>
        <v>0</v>
      </c>
      <c r="G61" s="114">
        <f>IF(SUM(K$27:K60)&gt;0,0,IF(Y61&lt;&gt;"-",$B$3,0))</f>
        <v>0</v>
      </c>
      <c r="H61" s="114">
        <f t="shared" si="6"/>
        <v>0</v>
      </c>
      <c r="I61" s="105">
        <f t="shared" si="12"/>
        <v>0</v>
      </c>
      <c r="J61" s="105">
        <f t="shared" si="7"/>
        <v>0</v>
      </c>
      <c r="K61" s="132">
        <f t="shared" si="23"/>
        <v>0</v>
      </c>
      <c r="L61" s="133">
        <f t="shared" si="24"/>
        <v>0</v>
      </c>
      <c r="M61" s="132">
        <f>IF(SUM(K$28:K61)&gt;0,MIN(O60*(1+B$9)^(1/12),G$25-G61+K61),0)</f>
        <v>0</v>
      </c>
      <c r="N61" s="132">
        <f t="shared" si="8"/>
        <v>0</v>
      </c>
      <c r="O61" s="133">
        <f t="shared" si="9"/>
        <v>0</v>
      </c>
      <c r="P61" s="103">
        <f>SUM(N$27:N61)</f>
        <v>0</v>
      </c>
      <c r="Q61" s="103">
        <f t="shared" si="21"/>
        <v>0</v>
      </c>
      <c r="R61" s="103">
        <f t="shared" si="14"/>
        <v>0</v>
      </c>
      <c r="S61" s="103">
        <f t="shared" si="15"/>
        <v>0</v>
      </c>
      <c r="T61" s="103">
        <f t="shared" si="16"/>
        <v>0</v>
      </c>
      <c r="U61" s="96" t="s">
        <v>67</v>
      </c>
      <c r="V61" s="96" t="str">
        <f t="shared" si="10"/>
        <v>-</v>
      </c>
      <c r="W61" s="96" t="str">
        <f t="shared" si="17"/>
        <v>-</v>
      </c>
      <c r="X61" s="96" t="str">
        <f t="shared" si="18"/>
        <v>-</v>
      </c>
      <c r="Y61" s="107" t="str">
        <f t="shared" si="11"/>
        <v/>
      </c>
      <c r="Z61" s="71"/>
    </row>
    <row r="62" spans="1:26" x14ac:dyDescent="0.2">
      <c r="A62" s="108">
        <v>35</v>
      </c>
      <c r="B62" s="132">
        <f t="shared" si="22"/>
        <v>0</v>
      </c>
      <c r="C62" s="104">
        <f t="shared" si="19"/>
        <v>0</v>
      </c>
      <c r="D62" s="132">
        <f t="shared" si="3"/>
        <v>0</v>
      </c>
      <c r="E62" s="132">
        <f t="shared" si="4"/>
        <v>0</v>
      </c>
      <c r="F62" s="132">
        <f t="shared" si="5"/>
        <v>0</v>
      </c>
      <c r="G62" s="114">
        <f>IF(SUM(K$27:K61)&gt;0,0,IF(Y62&lt;&gt;"-",$B$3,0))</f>
        <v>0</v>
      </c>
      <c r="H62" s="114">
        <f t="shared" si="6"/>
        <v>0</v>
      </c>
      <c r="I62" s="105">
        <f t="shared" si="12"/>
        <v>0</v>
      </c>
      <c r="J62" s="105">
        <f t="shared" si="7"/>
        <v>0</v>
      </c>
      <c r="K62" s="132">
        <f t="shared" si="23"/>
        <v>0</v>
      </c>
      <c r="L62" s="133">
        <f t="shared" si="24"/>
        <v>0</v>
      </c>
      <c r="M62" s="132">
        <f>IF(SUM(K$28:K62)&gt;0,MIN(O61*(1+B$9)^(1/12),G$25-G62+K62),0)</f>
        <v>0</v>
      </c>
      <c r="N62" s="132">
        <f t="shared" si="8"/>
        <v>0</v>
      </c>
      <c r="O62" s="133">
        <f t="shared" si="9"/>
        <v>0</v>
      </c>
      <c r="P62" s="103">
        <f>SUM(N$27:N62)</f>
        <v>0</v>
      </c>
      <c r="Q62" s="103">
        <f t="shared" si="21"/>
        <v>0</v>
      </c>
      <c r="R62" s="103">
        <f t="shared" si="14"/>
        <v>0</v>
      </c>
      <c r="S62" s="103">
        <f t="shared" si="15"/>
        <v>0</v>
      </c>
      <c r="T62" s="103">
        <f t="shared" si="16"/>
        <v>0</v>
      </c>
      <c r="U62" s="96" t="s">
        <v>67</v>
      </c>
      <c r="V62" s="96" t="str">
        <f t="shared" si="10"/>
        <v>-</v>
      </c>
      <c r="W62" s="96" t="str">
        <f t="shared" si="17"/>
        <v>-</v>
      </c>
      <c r="X62" s="96" t="str">
        <f t="shared" si="18"/>
        <v>-</v>
      </c>
      <c r="Y62" s="107" t="str">
        <f t="shared" si="11"/>
        <v/>
      </c>
      <c r="Z62" s="71"/>
    </row>
    <row r="63" spans="1:26" x14ac:dyDescent="0.2">
      <c r="A63" s="110">
        <v>36</v>
      </c>
      <c r="B63" s="111">
        <f t="shared" si="22"/>
        <v>0</v>
      </c>
      <c r="C63" s="111">
        <f t="shared" si="19"/>
        <v>0</v>
      </c>
      <c r="D63" s="111">
        <f t="shared" si="3"/>
        <v>0</v>
      </c>
      <c r="E63" s="111">
        <f t="shared" si="4"/>
        <v>0</v>
      </c>
      <c r="F63" s="111">
        <f t="shared" si="5"/>
        <v>0</v>
      </c>
      <c r="G63" s="112">
        <f>IF(SUM(K$27:K62)&gt;0,0,IF(Y63&lt;&gt;"-",$B$3,0))</f>
        <v>0</v>
      </c>
      <c r="H63" s="112">
        <f t="shared" si="6"/>
        <v>0</v>
      </c>
      <c r="I63" s="112">
        <f t="shared" si="12"/>
        <v>0</v>
      </c>
      <c r="J63" s="112">
        <f t="shared" si="7"/>
        <v>0</v>
      </c>
      <c r="K63" s="111">
        <f t="shared" si="23"/>
        <v>0</v>
      </c>
      <c r="L63" s="113">
        <f t="shared" si="24"/>
        <v>0</v>
      </c>
      <c r="M63" s="111">
        <f>IF(SUM(K$28:K63)&gt;0,MIN(O62*(1+B$9)^(1/12),G$25-G63+K63),0)</f>
        <v>0</v>
      </c>
      <c r="N63" s="111">
        <f t="shared" si="8"/>
        <v>0</v>
      </c>
      <c r="O63" s="113">
        <f t="shared" si="9"/>
        <v>0</v>
      </c>
      <c r="P63" s="111">
        <f>SUM(N$27:N63)</f>
        <v>0</v>
      </c>
      <c r="Q63" s="111">
        <f t="shared" si="21"/>
        <v>0</v>
      </c>
      <c r="R63" s="111">
        <f t="shared" si="14"/>
        <v>0</v>
      </c>
      <c r="S63" s="111">
        <f t="shared" si="15"/>
        <v>0</v>
      </c>
      <c r="T63" s="111">
        <f t="shared" si="16"/>
        <v>0</v>
      </c>
      <c r="U63" s="101" t="s">
        <v>67</v>
      </c>
      <c r="V63" s="101" t="str">
        <f t="shared" si="10"/>
        <v>q</v>
      </c>
      <c r="W63" s="101" t="str">
        <f t="shared" si="17"/>
        <v>s</v>
      </c>
      <c r="X63" s="101" t="str">
        <f t="shared" si="18"/>
        <v>a</v>
      </c>
      <c r="Y63" s="107" t="str">
        <f t="shared" si="11"/>
        <v/>
      </c>
      <c r="Z63" s="71"/>
    </row>
    <row r="64" spans="1:26" x14ac:dyDescent="0.2">
      <c r="A64" s="108">
        <v>37</v>
      </c>
      <c r="B64" s="132">
        <f t="shared" si="22"/>
        <v>0</v>
      </c>
      <c r="C64" s="104">
        <f t="shared" si="19"/>
        <v>0</v>
      </c>
      <c r="D64" s="132">
        <f t="shared" si="3"/>
        <v>0</v>
      </c>
      <c r="E64" s="132">
        <f t="shared" si="4"/>
        <v>0</v>
      </c>
      <c r="F64" s="132">
        <f t="shared" si="5"/>
        <v>0</v>
      </c>
      <c r="G64" s="114">
        <f>IF(SUM(K$27:K63)&gt;0,0,IF(Y64&lt;&gt;"-",$B$3,0))</f>
        <v>0</v>
      </c>
      <c r="H64" s="114">
        <f t="shared" si="6"/>
        <v>0</v>
      </c>
      <c r="I64" s="105">
        <f t="shared" si="12"/>
        <v>0</v>
      </c>
      <c r="J64" s="105">
        <f t="shared" si="7"/>
        <v>0</v>
      </c>
      <c r="K64" s="132">
        <f t="shared" si="23"/>
        <v>0</v>
      </c>
      <c r="L64" s="133">
        <f t="shared" si="24"/>
        <v>0</v>
      </c>
      <c r="M64" s="132">
        <f>IF(SUM(K$28:K64)&gt;0,MIN(O63*(1+B$9)^(1/12),G$25-G64+K64),0)</f>
        <v>0</v>
      </c>
      <c r="N64" s="132">
        <f t="shared" si="8"/>
        <v>0</v>
      </c>
      <c r="O64" s="133">
        <f t="shared" si="9"/>
        <v>0</v>
      </c>
      <c r="P64" s="103">
        <f>SUM(N$27:N64)</f>
        <v>0</v>
      </c>
      <c r="Q64" s="103">
        <f t="shared" si="21"/>
        <v>0</v>
      </c>
      <c r="R64" s="103">
        <f t="shared" si="14"/>
        <v>0</v>
      </c>
      <c r="S64" s="103">
        <f t="shared" si="15"/>
        <v>0</v>
      </c>
      <c r="T64" s="103">
        <f t="shared" si="16"/>
        <v>0</v>
      </c>
      <c r="U64" s="96" t="s">
        <v>67</v>
      </c>
      <c r="V64" s="96" t="str">
        <f t="shared" si="10"/>
        <v>-</v>
      </c>
      <c r="W64" s="96" t="str">
        <f t="shared" si="17"/>
        <v>-</v>
      </c>
      <c r="X64" s="96" t="str">
        <f t="shared" si="18"/>
        <v>-</v>
      </c>
      <c r="Y64" s="107" t="str">
        <f t="shared" si="11"/>
        <v/>
      </c>
      <c r="Z64" s="71"/>
    </row>
    <row r="65" spans="1:26" x14ac:dyDescent="0.2">
      <c r="A65" s="108">
        <v>38</v>
      </c>
      <c r="B65" s="132">
        <f t="shared" si="22"/>
        <v>0</v>
      </c>
      <c r="C65" s="104">
        <f t="shared" si="19"/>
        <v>0</v>
      </c>
      <c r="D65" s="132">
        <f t="shared" si="3"/>
        <v>0</v>
      </c>
      <c r="E65" s="132">
        <f t="shared" si="4"/>
        <v>0</v>
      </c>
      <c r="F65" s="132">
        <f t="shared" si="5"/>
        <v>0</v>
      </c>
      <c r="G65" s="114">
        <f>IF(SUM(K$27:K64)&gt;0,0,IF(Y65&lt;&gt;"-",$B$3,0))</f>
        <v>0</v>
      </c>
      <c r="H65" s="114">
        <f t="shared" si="6"/>
        <v>0</v>
      </c>
      <c r="I65" s="105">
        <f t="shared" si="12"/>
        <v>0</v>
      </c>
      <c r="J65" s="105">
        <f t="shared" si="7"/>
        <v>0</v>
      </c>
      <c r="K65" s="132">
        <f t="shared" si="23"/>
        <v>0</v>
      </c>
      <c r="L65" s="133">
        <f t="shared" si="24"/>
        <v>0</v>
      </c>
      <c r="M65" s="132">
        <f>IF(SUM(K$28:K65)&gt;0,MIN(O64*(1+B$9)^(1/12),G$25-G65+K65),0)</f>
        <v>0</v>
      </c>
      <c r="N65" s="132">
        <f t="shared" si="8"/>
        <v>0</v>
      </c>
      <c r="O65" s="133">
        <f t="shared" si="9"/>
        <v>0</v>
      </c>
      <c r="P65" s="103">
        <f>SUM(N$27:N65)</f>
        <v>0</v>
      </c>
      <c r="Q65" s="103">
        <f t="shared" si="21"/>
        <v>0</v>
      </c>
      <c r="R65" s="103">
        <f t="shared" si="14"/>
        <v>0</v>
      </c>
      <c r="S65" s="103">
        <f t="shared" si="15"/>
        <v>0</v>
      </c>
      <c r="T65" s="103">
        <f t="shared" si="16"/>
        <v>0</v>
      </c>
      <c r="U65" s="96" t="s">
        <v>67</v>
      </c>
      <c r="V65" s="96" t="str">
        <f t="shared" si="10"/>
        <v>-</v>
      </c>
      <c r="W65" s="96" t="str">
        <f t="shared" si="17"/>
        <v>-</v>
      </c>
      <c r="X65" s="96" t="str">
        <f t="shared" si="18"/>
        <v>-</v>
      </c>
      <c r="Y65" s="107" t="str">
        <f t="shared" si="11"/>
        <v/>
      </c>
      <c r="Z65" s="71"/>
    </row>
    <row r="66" spans="1:26" x14ac:dyDescent="0.2">
      <c r="A66" s="108">
        <v>39</v>
      </c>
      <c r="B66" s="132">
        <f t="shared" si="22"/>
        <v>0</v>
      </c>
      <c r="C66" s="104">
        <f t="shared" si="19"/>
        <v>0</v>
      </c>
      <c r="D66" s="132">
        <f t="shared" si="3"/>
        <v>0</v>
      </c>
      <c r="E66" s="132">
        <f t="shared" si="4"/>
        <v>0</v>
      </c>
      <c r="F66" s="132">
        <f t="shared" si="5"/>
        <v>0</v>
      </c>
      <c r="G66" s="114">
        <f>IF(SUM(K$27:K65)&gt;0,0,IF(Y66&lt;&gt;"-",$B$3,0))</f>
        <v>0</v>
      </c>
      <c r="H66" s="114">
        <f t="shared" si="6"/>
        <v>0</v>
      </c>
      <c r="I66" s="105">
        <f t="shared" si="12"/>
        <v>0</v>
      </c>
      <c r="J66" s="105">
        <f t="shared" si="7"/>
        <v>0</v>
      </c>
      <c r="K66" s="132">
        <f t="shared" si="23"/>
        <v>0</v>
      </c>
      <c r="L66" s="133">
        <f t="shared" si="24"/>
        <v>0</v>
      </c>
      <c r="M66" s="132">
        <f>IF(SUM(K$28:K66)&gt;0,MIN(O65*(1+B$9)^(1/12),G$25-G66+K66),0)</f>
        <v>0</v>
      </c>
      <c r="N66" s="132">
        <f t="shared" si="8"/>
        <v>0</v>
      </c>
      <c r="O66" s="133">
        <f t="shared" si="9"/>
        <v>0</v>
      </c>
      <c r="P66" s="103">
        <f>SUM(N$27:N66)</f>
        <v>0</v>
      </c>
      <c r="Q66" s="103">
        <f t="shared" si="21"/>
        <v>0</v>
      </c>
      <c r="R66" s="103">
        <f t="shared" si="14"/>
        <v>0</v>
      </c>
      <c r="S66" s="103">
        <f t="shared" si="15"/>
        <v>0</v>
      </c>
      <c r="T66" s="103">
        <f t="shared" si="16"/>
        <v>0</v>
      </c>
      <c r="U66" s="96" t="s">
        <v>67</v>
      </c>
      <c r="V66" s="96" t="str">
        <f t="shared" si="10"/>
        <v>q</v>
      </c>
      <c r="W66" s="96" t="str">
        <f t="shared" si="17"/>
        <v>-</v>
      </c>
      <c r="X66" s="96" t="str">
        <f t="shared" si="18"/>
        <v>-</v>
      </c>
      <c r="Y66" s="107" t="str">
        <f t="shared" si="11"/>
        <v/>
      </c>
      <c r="Z66" s="71"/>
    </row>
    <row r="67" spans="1:26" x14ac:dyDescent="0.2">
      <c r="A67" s="108">
        <v>40</v>
      </c>
      <c r="B67" s="132">
        <f t="shared" si="22"/>
        <v>0</v>
      </c>
      <c r="C67" s="104">
        <f t="shared" si="19"/>
        <v>0</v>
      </c>
      <c r="D67" s="132">
        <f t="shared" si="3"/>
        <v>0</v>
      </c>
      <c r="E67" s="132">
        <f t="shared" si="4"/>
        <v>0</v>
      </c>
      <c r="F67" s="132">
        <f t="shared" si="5"/>
        <v>0</v>
      </c>
      <c r="G67" s="114">
        <f>IF(SUM(K$27:K66)&gt;0,0,IF(Y67&lt;&gt;"-",$B$3,0))</f>
        <v>0</v>
      </c>
      <c r="H67" s="114">
        <f t="shared" si="6"/>
        <v>0</v>
      </c>
      <c r="I67" s="105">
        <f t="shared" si="12"/>
        <v>0</v>
      </c>
      <c r="J67" s="105">
        <f t="shared" si="7"/>
        <v>0</v>
      </c>
      <c r="K67" s="132">
        <f t="shared" si="23"/>
        <v>0</v>
      </c>
      <c r="L67" s="133">
        <f t="shared" si="24"/>
        <v>0</v>
      </c>
      <c r="M67" s="132">
        <f>IF(SUM(K$28:K67)&gt;0,MIN(O66*(1+B$9)^(1/12),G$25-G67+K67),0)</f>
        <v>0</v>
      </c>
      <c r="N67" s="132">
        <f t="shared" si="8"/>
        <v>0</v>
      </c>
      <c r="O67" s="133">
        <f t="shared" si="9"/>
        <v>0</v>
      </c>
      <c r="P67" s="103">
        <f>SUM(N$27:N67)</f>
        <v>0</v>
      </c>
      <c r="Q67" s="103">
        <f t="shared" si="21"/>
        <v>0</v>
      </c>
      <c r="R67" s="103">
        <f t="shared" si="14"/>
        <v>0</v>
      </c>
      <c r="S67" s="103">
        <f t="shared" si="15"/>
        <v>0</v>
      </c>
      <c r="T67" s="103">
        <f t="shared" si="16"/>
        <v>0</v>
      </c>
      <c r="U67" s="96" t="s">
        <v>67</v>
      </c>
      <c r="V67" s="96" t="str">
        <f t="shared" si="10"/>
        <v>-</v>
      </c>
      <c r="W67" s="96" t="str">
        <f t="shared" si="17"/>
        <v>-</v>
      </c>
      <c r="X67" s="96" t="str">
        <f t="shared" si="18"/>
        <v>-</v>
      </c>
      <c r="Y67" s="107" t="str">
        <f t="shared" si="11"/>
        <v/>
      </c>
      <c r="Z67" s="71"/>
    </row>
    <row r="68" spans="1:26" x14ac:dyDescent="0.2">
      <c r="A68" s="108">
        <v>41</v>
      </c>
      <c r="B68" s="132">
        <f t="shared" si="22"/>
        <v>0</v>
      </c>
      <c r="C68" s="104">
        <f t="shared" si="19"/>
        <v>0</v>
      </c>
      <c r="D68" s="132">
        <f t="shared" si="3"/>
        <v>0</v>
      </c>
      <c r="E68" s="132">
        <f t="shared" si="4"/>
        <v>0</v>
      </c>
      <c r="F68" s="132">
        <f t="shared" si="5"/>
        <v>0</v>
      </c>
      <c r="G68" s="114">
        <f>IF(SUM(K$27:K67)&gt;0,0,IF(Y68&lt;&gt;"-",$B$3,0))</f>
        <v>0</v>
      </c>
      <c r="H68" s="114">
        <f t="shared" si="6"/>
        <v>0</v>
      </c>
      <c r="I68" s="105">
        <f t="shared" si="12"/>
        <v>0</v>
      </c>
      <c r="J68" s="105">
        <f t="shared" si="7"/>
        <v>0</v>
      </c>
      <c r="K68" s="132">
        <f t="shared" si="23"/>
        <v>0</v>
      </c>
      <c r="L68" s="133">
        <f t="shared" si="24"/>
        <v>0</v>
      </c>
      <c r="M68" s="132">
        <f>IF(SUM(K$28:K68)&gt;0,MIN(O67*(1+B$9)^(1/12),G$25-G68+K68),0)</f>
        <v>0</v>
      </c>
      <c r="N68" s="132">
        <f t="shared" si="8"/>
        <v>0</v>
      </c>
      <c r="O68" s="133">
        <f t="shared" si="9"/>
        <v>0</v>
      </c>
      <c r="P68" s="103">
        <f>SUM(N$27:N68)</f>
        <v>0</v>
      </c>
      <c r="Q68" s="103">
        <f t="shared" si="21"/>
        <v>0</v>
      </c>
      <c r="R68" s="103">
        <f t="shared" si="14"/>
        <v>0</v>
      </c>
      <c r="S68" s="103">
        <f t="shared" si="15"/>
        <v>0</v>
      </c>
      <c r="T68" s="103">
        <f t="shared" si="16"/>
        <v>0</v>
      </c>
      <c r="U68" s="96" t="s">
        <v>67</v>
      </c>
      <c r="V68" s="96" t="str">
        <f t="shared" si="10"/>
        <v>-</v>
      </c>
      <c r="W68" s="96" t="str">
        <f t="shared" si="17"/>
        <v>-</v>
      </c>
      <c r="X68" s="96" t="str">
        <f t="shared" si="18"/>
        <v>-</v>
      </c>
      <c r="Y68" s="107" t="str">
        <f t="shared" si="11"/>
        <v/>
      </c>
      <c r="Z68" s="71"/>
    </row>
    <row r="69" spans="1:26" x14ac:dyDescent="0.2">
      <c r="A69" s="108">
        <v>42</v>
      </c>
      <c r="B69" s="132">
        <f t="shared" si="22"/>
        <v>0</v>
      </c>
      <c r="C69" s="104">
        <f t="shared" si="19"/>
        <v>0</v>
      </c>
      <c r="D69" s="132">
        <f t="shared" si="3"/>
        <v>0</v>
      </c>
      <c r="E69" s="132">
        <f t="shared" si="4"/>
        <v>0</v>
      </c>
      <c r="F69" s="132">
        <f t="shared" si="5"/>
        <v>0</v>
      </c>
      <c r="G69" s="114">
        <f>IF(SUM(K$27:K68)&gt;0,0,IF(Y69&lt;&gt;"-",$B$3,0))</f>
        <v>0</v>
      </c>
      <c r="H69" s="114">
        <f t="shared" si="6"/>
        <v>0</v>
      </c>
      <c r="I69" s="105">
        <f t="shared" si="12"/>
        <v>0</v>
      </c>
      <c r="J69" s="105">
        <f t="shared" si="7"/>
        <v>0</v>
      </c>
      <c r="K69" s="132">
        <f t="shared" si="23"/>
        <v>0</v>
      </c>
      <c r="L69" s="133">
        <f t="shared" si="24"/>
        <v>0</v>
      </c>
      <c r="M69" s="132">
        <f>IF(SUM(K$28:K69)&gt;0,MIN(O68*(1+B$9)^(1/12),G$25-G69+K69),0)</f>
        <v>0</v>
      </c>
      <c r="N69" s="132">
        <f t="shared" si="8"/>
        <v>0</v>
      </c>
      <c r="O69" s="133">
        <f t="shared" si="9"/>
        <v>0</v>
      </c>
      <c r="P69" s="103">
        <f>SUM(N$27:N69)</f>
        <v>0</v>
      </c>
      <c r="Q69" s="103">
        <f t="shared" si="21"/>
        <v>0</v>
      </c>
      <c r="R69" s="103">
        <f t="shared" si="14"/>
        <v>0</v>
      </c>
      <c r="S69" s="103">
        <f t="shared" si="15"/>
        <v>0</v>
      </c>
      <c r="T69" s="103">
        <f t="shared" si="16"/>
        <v>0</v>
      </c>
      <c r="U69" s="96" t="s">
        <v>67</v>
      </c>
      <c r="V69" s="96" t="str">
        <f t="shared" si="10"/>
        <v>q</v>
      </c>
      <c r="W69" s="96" t="str">
        <f t="shared" si="17"/>
        <v>s</v>
      </c>
      <c r="X69" s="96" t="str">
        <f t="shared" si="18"/>
        <v>-</v>
      </c>
      <c r="Y69" s="107" t="str">
        <f t="shared" si="11"/>
        <v/>
      </c>
      <c r="Z69" s="71"/>
    </row>
    <row r="70" spans="1:26" x14ac:dyDescent="0.2">
      <c r="A70" s="108">
        <v>43</v>
      </c>
      <c r="B70" s="132">
        <f t="shared" si="22"/>
        <v>0</v>
      </c>
      <c r="C70" s="104">
        <f t="shared" si="19"/>
        <v>0</v>
      </c>
      <c r="D70" s="132">
        <f t="shared" si="3"/>
        <v>0</v>
      </c>
      <c r="E70" s="132">
        <f t="shared" si="4"/>
        <v>0</v>
      </c>
      <c r="F70" s="132">
        <f t="shared" si="5"/>
        <v>0</v>
      </c>
      <c r="G70" s="114">
        <f>IF(SUM(K$27:K69)&gt;0,0,IF(Y70&lt;&gt;"-",$B$3,0))</f>
        <v>0</v>
      </c>
      <c r="H70" s="114">
        <f t="shared" si="6"/>
        <v>0</v>
      </c>
      <c r="I70" s="105">
        <f t="shared" si="12"/>
        <v>0</v>
      </c>
      <c r="J70" s="105">
        <f t="shared" si="7"/>
        <v>0</v>
      </c>
      <c r="K70" s="132">
        <f t="shared" si="23"/>
        <v>0</v>
      </c>
      <c r="L70" s="133">
        <f t="shared" si="24"/>
        <v>0</v>
      </c>
      <c r="M70" s="132">
        <f>IF(SUM(K$28:K70)&gt;0,MIN(O69*(1+B$9)^(1/12),G$25-G70+K70),0)</f>
        <v>0</v>
      </c>
      <c r="N70" s="132">
        <f t="shared" si="8"/>
        <v>0</v>
      </c>
      <c r="O70" s="133">
        <f t="shared" si="9"/>
        <v>0</v>
      </c>
      <c r="P70" s="103">
        <f>SUM(N$27:N70)</f>
        <v>0</v>
      </c>
      <c r="Q70" s="103">
        <f t="shared" si="21"/>
        <v>0</v>
      </c>
      <c r="R70" s="103">
        <f t="shared" si="14"/>
        <v>0</v>
      </c>
      <c r="S70" s="103">
        <f t="shared" si="15"/>
        <v>0</v>
      </c>
      <c r="T70" s="103">
        <f t="shared" si="16"/>
        <v>0</v>
      </c>
      <c r="U70" s="96" t="s">
        <v>67</v>
      </c>
      <c r="V70" s="96" t="str">
        <f t="shared" si="10"/>
        <v>-</v>
      </c>
      <c r="W70" s="96" t="str">
        <f t="shared" si="17"/>
        <v>-</v>
      </c>
      <c r="X70" s="96" t="str">
        <f t="shared" si="18"/>
        <v>-</v>
      </c>
      <c r="Y70" s="107" t="str">
        <f t="shared" si="11"/>
        <v/>
      </c>
      <c r="Z70" s="71"/>
    </row>
    <row r="71" spans="1:26" x14ac:dyDescent="0.2">
      <c r="A71" s="108">
        <v>44</v>
      </c>
      <c r="B71" s="132">
        <f t="shared" si="22"/>
        <v>0</v>
      </c>
      <c r="C71" s="104">
        <f t="shared" si="19"/>
        <v>0</v>
      </c>
      <c r="D71" s="132">
        <f t="shared" si="3"/>
        <v>0</v>
      </c>
      <c r="E71" s="132">
        <f t="shared" si="4"/>
        <v>0</v>
      </c>
      <c r="F71" s="132">
        <f t="shared" si="5"/>
        <v>0</v>
      </c>
      <c r="G71" s="114">
        <f>IF(SUM(K$27:K70)&gt;0,0,IF(Y71&lt;&gt;"-",$B$3,0))</f>
        <v>0</v>
      </c>
      <c r="H71" s="114">
        <f t="shared" si="6"/>
        <v>0</v>
      </c>
      <c r="I71" s="105">
        <f t="shared" si="12"/>
        <v>0</v>
      </c>
      <c r="J71" s="105">
        <f t="shared" si="7"/>
        <v>0</v>
      </c>
      <c r="K71" s="132">
        <f t="shared" si="23"/>
        <v>0</v>
      </c>
      <c r="L71" s="133">
        <f t="shared" si="24"/>
        <v>0</v>
      </c>
      <c r="M71" s="132">
        <f>IF(SUM(K$28:K71)&gt;0,MIN(O70*(1+B$9)^(1/12),G$25-G71+K71),0)</f>
        <v>0</v>
      </c>
      <c r="N71" s="132">
        <f t="shared" si="8"/>
        <v>0</v>
      </c>
      <c r="O71" s="133">
        <f t="shared" si="9"/>
        <v>0</v>
      </c>
      <c r="P71" s="103">
        <f>SUM(N$27:N71)</f>
        <v>0</v>
      </c>
      <c r="Q71" s="103">
        <f t="shared" si="21"/>
        <v>0</v>
      </c>
      <c r="R71" s="103">
        <f t="shared" si="14"/>
        <v>0</v>
      </c>
      <c r="S71" s="103">
        <f t="shared" si="15"/>
        <v>0</v>
      </c>
      <c r="T71" s="103">
        <f t="shared" si="16"/>
        <v>0</v>
      </c>
      <c r="U71" s="96" t="s">
        <v>67</v>
      </c>
      <c r="V71" s="96" t="str">
        <f t="shared" si="10"/>
        <v>-</v>
      </c>
      <c r="W71" s="96" t="str">
        <f t="shared" si="17"/>
        <v>-</v>
      </c>
      <c r="X71" s="96" t="str">
        <f t="shared" si="18"/>
        <v>-</v>
      </c>
      <c r="Y71" s="107" t="str">
        <f t="shared" si="11"/>
        <v/>
      </c>
      <c r="Z71" s="71"/>
    </row>
    <row r="72" spans="1:26" x14ac:dyDescent="0.2">
      <c r="A72" s="108">
        <v>45</v>
      </c>
      <c r="B72" s="132">
        <f t="shared" si="22"/>
        <v>0</v>
      </c>
      <c r="C72" s="104">
        <f t="shared" si="19"/>
        <v>0</v>
      </c>
      <c r="D72" s="132">
        <f t="shared" si="3"/>
        <v>0</v>
      </c>
      <c r="E72" s="132">
        <f t="shared" si="4"/>
        <v>0</v>
      </c>
      <c r="F72" s="132">
        <f t="shared" si="5"/>
        <v>0</v>
      </c>
      <c r="G72" s="114">
        <f>IF(SUM(K$27:K71)&gt;0,0,IF(Y72&lt;&gt;"-",$B$3,0))</f>
        <v>0</v>
      </c>
      <c r="H72" s="114">
        <f t="shared" si="6"/>
        <v>0</v>
      </c>
      <c r="I72" s="105">
        <f t="shared" si="12"/>
        <v>0</v>
      </c>
      <c r="J72" s="105">
        <f t="shared" si="7"/>
        <v>0</v>
      </c>
      <c r="K72" s="132">
        <f t="shared" si="23"/>
        <v>0</v>
      </c>
      <c r="L72" s="133">
        <f t="shared" si="24"/>
        <v>0</v>
      </c>
      <c r="M72" s="132">
        <f>IF(SUM(K$28:K72)&gt;0,MIN(O71*(1+B$9)^(1/12),G$25-G72+K72),0)</f>
        <v>0</v>
      </c>
      <c r="N72" s="132">
        <f t="shared" si="8"/>
        <v>0</v>
      </c>
      <c r="O72" s="133">
        <f t="shared" si="9"/>
        <v>0</v>
      </c>
      <c r="P72" s="103">
        <f>SUM(N$27:N72)</f>
        <v>0</v>
      </c>
      <c r="Q72" s="103">
        <f t="shared" si="21"/>
        <v>0</v>
      </c>
      <c r="R72" s="103">
        <f t="shared" si="14"/>
        <v>0</v>
      </c>
      <c r="S72" s="103">
        <f t="shared" si="15"/>
        <v>0</v>
      </c>
      <c r="T72" s="103">
        <f t="shared" si="16"/>
        <v>0</v>
      </c>
      <c r="U72" s="96" t="s">
        <v>67</v>
      </c>
      <c r="V72" s="96" t="str">
        <f t="shared" si="10"/>
        <v>q</v>
      </c>
      <c r="W72" s="96" t="str">
        <f t="shared" si="17"/>
        <v>-</v>
      </c>
      <c r="X72" s="96" t="str">
        <f t="shared" si="18"/>
        <v>-</v>
      </c>
      <c r="Y72" s="107" t="str">
        <f t="shared" si="11"/>
        <v/>
      </c>
      <c r="Z72" s="71"/>
    </row>
    <row r="73" spans="1:26" x14ac:dyDescent="0.2">
      <c r="A73" s="108">
        <v>46</v>
      </c>
      <c r="B73" s="132">
        <f t="shared" si="22"/>
        <v>0</v>
      </c>
      <c r="C73" s="104">
        <f t="shared" si="19"/>
        <v>0</v>
      </c>
      <c r="D73" s="132">
        <f t="shared" si="3"/>
        <v>0</v>
      </c>
      <c r="E73" s="132">
        <f t="shared" si="4"/>
        <v>0</v>
      </c>
      <c r="F73" s="132">
        <f t="shared" si="5"/>
        <v>0</v>
      </c>
      <c r="G73" s="114">
        <f>IF(SUM(K$27:K72)&gt;0,0,IF(Y73&lt;&gt;"-",$B$3,0))</f>
        <v>0</v>
      </c>
      <c r="H73" s="114">
        <f t="shared" si="6"/>
        <v>0</v>
      </c>
      <c r="I73" s="105">
        <f t="shared" si="12"/>
        <v>0</v>
      </c>
      <c r="J73" s="105">
        <f t="shared" si="7"/>
        <v>0</v>
      </c>
      <c r="K73" s="132">
        <f t="shared" si="23"/>
        <v>0</v>
      </c>
      <c r="L73" s="133">
        <f t="shared" si="24"/>
        <v>0</v>
      </c>
      <c r="M73" s="132">
        <f>IF(SUM(K$28:K73)&gt;0,MIN(O72*(1+B$9)^(1/12),G$25-G73+K73),0)</f>
        <v>0</v>
      </c>
      <c r="N73" s="132">
        <f t="shared" si="8"/>
        <v>0</v>
      </c>
      <c r="O73" s="133">
        <f t="shared" si="9"/>
        <v>0</v>
      </c>
      <c r="P73" s="103">
        <f>SUM(N$27:N73)</f>
        <v>0</v>
      </c>
      <c r="Q73" s="103">
        <f t="shared" si="21"/>
        <v>0</v>
      </c>
      <c r="R73" s="103">
        <f t="shared" si="14"/>
        <v>0</v>
      </c>
      <c r="S73" s="103">
        <f t="shared" si="15"/>
        <v>0</v>
      </c>
      <c r="T73" s="103">
        <f t="shared" si="16"/>
        <v>0</v>
      </c>
      <c r="U73" s="96" t="s">
        <v>67</v>
      </c>
      <c r="V73" s="96" t="str">
        <f t="shared" si="10"/>
        <v>-</v>
      </c>
      <c r="W73" s="96" t="str">
        <f t="shared" si="17"/>
        <v>-</v>
      </c>
      <c r="X73" s="96" t="str">
        <f t="shared" si="18"/>
        <v>-</v>
      </c>
      <c r="Y73" s="107" t="str">
        <f t="shared" si="11"/>
        <v/>
      </c>
      <c r="Z73" s="71"/>
    </row>
    <row r="74" spans="1:26" x14ac:dyDescent="0.2">
      <c r="A74" s="108">
        <v>47</v>
      </c>
      <c r="B74" s="132">
        <f t="shared" si="22"/>
        <v>0</v>
      </c>
      <c r="C74" s="104">
        <f t="shared" si="19"/>
        <v>0</v>
      </c>
      <c r="D74" s="132">
        <f t="shared" si="3"/>
        <v>0</v>
      </c>
      <c r="E74" s="132">
        <f t="shared" si="4"/>
        <v>0</v>
      </c>
      <c r="F74" s="132">
        <f t="shared" si="5"/>
        <v>0</v>
      </c>
      <c r="G74" s="114">
        <f>IF(SUM(K$27:K73)&gt;0,0,IF(Y74&lt;&gt;"-",$B$3,0))</f>
        <v>0</v>
      </c>
      <c r="H74" s="114">
        <f t="shared" si="6"/>
        <v>0</v>
      </c>
      <c r="I74" s="105">
        <f t="shared" si="12"/>
        <v>0</v>
      </c>
      <c r="J74" s="105">
        <f t="shared" si="7"/>
        <v>0</v>
      </c>
      <c r="K74" s="132">
        <f t="shared" si="23"/>
        <v>0</v>
      </c>
      <c r="L74" s="133">
        <f t="shared" si="24"/>
        <v>0</v>
      </c>
      <c r="M74" s="132">
        <f>IF(SUM(K$28:K74)&gt;0,MIN(O73*(1+B$9)^(1/12),G$25-G74+K74),0)</f>
        <v>0</v>
      </c>
      <c r="N74" s="132">
        <f t="shared" si="8"/>
        <v>0</v>
      </c>
      <c r="O74" s="133">
        <f t="shared" si="9"/>
        <v>0</v>
      </c>
      <c r="P74" s="103">
        <f>SUM(N$27:N74)</f>
        <v>0</v>
      </c>
      <c r="Q74" s="103">
        <f t="shared" si="21"/>
        <v>0</v>
      </c>
      <c r="R74" s="103">
        <f t="shared" si="14"/>
        <v>0</v>
      </c>
      <c r="S74" s="103">
        <f t="shared" si="15"/>
        <v>0</v>
      </c>
      <c r="T74" s="103">
        <f t="shared" si="16"/>
        <v>0</v>
      </c>
      <c r="U74" s="96" t="s">
        <v>67</v>
      </c>
      <c r="V74" s="96" t="str">
        <f t="shared" si="10"/>
        <v>-</v>
      </c>
      <c r="W74" s="96" t="str">
        <f t="shared" si="17"/>
        <v>-</v>
      </c>
      <c r="X74" s="96" t="str">
        <f t="shared" si="18"/>
        <v>-</v>
      </c>
      <c r="Y74" s="107" t="str">
        <f t="shared" si="11"/>
        <v/>
      </c>
      <c r="Z74" s="71"/>
    </row>
    <row r="75" spans="1:26" x14ac:dyDescent="0.2">
      <c r="A75" s="110">
        <v>48</v>
      </c>
      <c r="B75" s="111">
        <f t="shared" si="22"/>
        <v>0</v>
      </c>
      <c r="C75" s="111">
        <f t="shared" si="19"/>
        <v>0</v>
      </c>
      <c r="D75" s="111">
        <f t="shared" si="3"/>
        <v>0</v>
      </c>
      <c r="E75" s="111">
        <f t="shared" si="4"/>
        <v>0</v>
      </c>
      <c r="F75" s="111">
        <f t="shared" si="5"/>
        <v>0</v>
      </c>
      <c r="G75" s="112">
        <f>IF(SUM(K$27:K74)&gt;0,0,IF(Y75&lt;&gt;"-",$B$3,0))</f>
        <v>0</v>
      </c>
      <c r="H75" s="112">
        <f t="shared" si="6"/>
        <v>0</v>
      </c>
      <c r="I75" s="112">
        <f t="shared" si="12"/>
        <v>0</v>
      </c>
      <c r="J75" s="112">
        <f t="shared" si="7"/>
        <v>0</v>
      </c>
      <c r="K75" s="111">
        <f t="shared" si="23"/>
        <v>0</v>
      </c>
      <c r="L75" s="113">
        <f t="shared" si="24"/>
        <v>0</v>
      </c>
      <c r="M75" s="111">
        <f>IF(SUM(K$28:K75)&gt;0,MIN(O74*(1+B$9)^(1/12),G$25-G75+K75),0)</f>
        <v>0</v>
      </c>
      <c r="N75" s="111">
        <f t="shared" si="8"/>
        <v>0</v>
      </c>
      <c r="O75" s="113">
        <f t="shared" si="9"/>
        <v>0</v>
      </c>
      <c r="P75" s="111">
        <f>SUM(N$27:N75)</f>
        <v>0</v>
      </c>
      <c r="Q75" s="111">
        <f t="shared" si="21"/>
        <v>0</v>
      </c>
      <c r="R75" s="111">
        <f t="shared" si="14"/>
        <v>0</v>
      </c>
      <c r="S75" s="111">
        <f t="shared" si="15"/>
        <v>0</v>
      </c>
      <c r="T75" s="111">
        <f t="shared" si="16"/>
        <v>0</v>
      </c>
      <c r="U75" s="101" t="s">
        <v>67</v>
      </c>
      <c r="V75" s="101" t="str">
        <f t="shared" si="10"/>
        <v>q</v>
      </c>
      <c r="W75" s="101" t="str">
        <f t="shared" si="17"/>
        <v>s</v>
      </c>
      <c r="X75" s="101" t="str">
        <f t="shared" si="18"/>
        <v>a</v>
      </c>
      <c r="Y75" s="107" t="str">
        <f t="shared" si="11"/>
        <v/>
      </c>
      <c r="Z75" s="71"/>
    </row>
    <row r="76" spans="1:26" x14ac:dyDescent="0.2">
      <c r="A76" s="108">
        <v>49</v>
      </c>
      <c r="B76" s="132">
        <f t="shared" si="22"/>
        <v>0</v>
      </c>
      <c r="C76" s="104">
        <f t="shared" si="19"/>
        <v>0</v>
      </c>
      <c r="D76" s="132">
        <f t="shared" si="3"/>
        <v>0</v>
      </c>
      <c r="E76" s="132">
        <f t="shared" si="4"/>
        <v>0</v>
      </c>
      <c r="F76" s="132">
        <f t="shared" si="5"/>
        <v>0</v>
      </c>
      <c r="G76" s="114">
        <f>IF(SUM(K$27:K75)&gt;0,0,IF(Y76&lt;&gt;"-",$B$3,0))</f>
        <v>0</v>
      </c>
      <c r="H76" s="114">
        <f t="shared" si="6"/>
        <v>0</v>
      </c>
      <c r="I76" s="105">
        <f t="shared" si="12"/>
        <v>0</v>
      </c>
      <c r="J76" s="105">
        <f t="shared" si="7"/>
        <v>0</v>
      </c>
      <c r="K76" s="132">
        <f t="shared" si="23"/>
        <v>0</v>
      </c>
      <c r="L76" s="133">
        <f t="shared" si="24"/>
        <v>0</v>
      </c>
      <c r="M76" s="132">
        <f>IF(SUM(K$28:K76)&gt;0,MIN(O75*(1+B$9)^(1/12),G$25-G76+K76),0)</f>
        <v>0</v>
      </c>
      <c r="N76" s="132">
        <f t="shared" si="8"/>
        <v>0</v>
      </c>
      <c r="O76" s="133">
        <f t="shared" si="9"/>
        <v>0</v>
      </c>
      <c r="P76" s="103">
        <f>SUM(N$27:N76)</f>
        <v>0</v>
      </c>
      <c r="Q76" s="103">
        <f t="shared" si="21"/>
        <v>0</v>
      </c>
      <c r="R76" s="103">
        <f t="shared" si="14"/>
        <v>0</v>
      </c>
      <c r="S76" s="103">
        <f t="shared" si="15"/>
        <v>0</v>
      </c>
      <c r="T76" s="103">
        <f t="shared" si="16"/>
        <v>0</v>
      </c>
      <c r="U76" s="96" t="s">
        <v>67</v>
      </c>
      <c r="V76" s="96" t="str">
        <f t="shared" si="10"/>
        <v>-</v>
      </c>
      <c r="W76" s="96" t="str">
        <f t="shared" si="17"/>
        <v>-</v>
      </c>
      <c r="X76" s="96" t="str">
        <f t="shared" si="18"/>
        <v>-</v>
      </c>
      <c r="Y76" s="107" t="str">
        <f t="shared" si="11"/>
        <v/>
      </c>
      <c r="Z76" s="71"/>
    </row>
    <row r="77" spans="1:26" x14ac:dyDescent="0.2">
      <c r="A77" s="108">
        <v>50</v>
      </c>
      <c r="B77" s="132">
        <f t="shared" si="22"/>
        <v>0</v>
      </c>
      <c r="C77" s="104">
        <f t="shared" si="19"/>
        <v>0</v>
      </c>
      <c r="D77" s="132">
        <f t="shared" si="3"/>
        <v>0</v>
      </c>
      <c r="E77" s="132">
        <f t="shared" si="4"/>
        <v>0</v>
      </c>
      <c r="F77" s="132">
        <f t="shared" si="5"/>
        <v>0</v>
      </c>
      <c r="G77" s="114">
        <f>IF(SUM(K$27:K76)&gt;0,0,IF(Y77&lt;&gt;"-",$B$3,0))</f>
        <v>0</v>
      </c>
      <c r="H77" s="114">
        <f t="shared" si="6"/>
        <v>0</v>
      </c>
      <c r="I77" s="105">
        <f t="shared" si="12"/>
        <v>0</v>
      </c>
      <c r="J77" s="105">
        <f t="shared" si="7"/>
        <v>0</v>
      </c>
      <c r="K77" s="132">
        <f t="shared" si="23"/>
        <v>0</v>
      </c>
      <c r="L77" s="133">
        <f t="shared" si="24"/>
        <v>0</v>
      </c>
      <c r="M77" s="132">
        <f>IF(SUM(K$28:K77)&gt;0,MIN(O76*(1+B$9)^(1/12),G$25-G77+K77),0)</f>
        <v>0</v>
      </c>
      <c r="N77" s="132">
        <f t="shared" si="8"/>
        <v>0</v>
      </c>
      <c r="O77" s="133">
        <f t="shared" si="9"/>
        <v>0</v>
      </c>
      <c r="P77" s="103">
        <f>SUM(N$27:N77)</f>
        <v>0</v>
      </c>
      <c r="Q77" s="103">
        <f t="shared" si="21"/>
        <v>0</v>
      </c>
      <c r="R77" s="103">
        <f t="shared" si="14"/>
        <v>0</v>
      </c>
      <c r="S77" s="103">
        <f t="shared" si="15"/>
        <v>0</v>
      </c>
      <c r="T77" s="103">
        <f t="shared" si="16"/>
        <v>0</v>
      </c>
      <c r="U77" s="96" t="s">
        <v>67</v>
      </c>
      <c r="V77" s="96" t="str">
        <f t="shared" si="10"/>
        <v>-</v>
      </c>
      <c r="W77" s="96" t="str">
        <f t="shared" si="17"/>
        <v>-</v>
      </c>
      <c r="X77" s="96" t="str">
        <f t="shared" si="18"/>
        <v>-</v>
      </c>
      <c r="Y77" s="107" t="str">
        <f t="shared" si="11"/>
        <v/>
      </c>
      <c r="Z77" s="71"/>
    </row>
    <row r="78" spans="1:26" x14ac:dyDescent="0.2">
      <c r="A78" s="108">
        <v>51</v>
      </c>
      <c r="B78" s="132">
        <f t="shared" si="22"/>
        <v>0</v>
      </c>
      <c r="C78" s="104">
        <f t="shared" si="19"/>
        <v>0</v>
      </c>
      <c r="D78" s="132">
        <f t="shared" si="3"/>
        <v>0</v>
      </c>
      <c r="E78" s="132">
        <f t="shared" si="4"/>
        <v>0</v>
      </c>
      <c r="F78" s="132">
        <f t="shared" si="5"/>
        <v>0</v>
      </c>
      <c r="G78" s="114">
        <f>IF(SUM(K$27:K77)&gt;0,0,IF(Y78&lt;&gt;"-",$B$3,0))</f>
        <v>0</v>
      </c>
      <c r="H78" s="114">
        <f t="shared" si="6"/>
        <v>0</v>
      </c>
      <c r="I78" s="105">
        <f t="shared" si="12"/>
        <v>0</v>
      </c>
      <c r="J78" s="105">
        <f t="shared" si="7"/>
        <v>0</v>
      </c>
      <c r="K78" s="132">
        <f t="shared" si="23"/>
        <v>0</v>
      </c>
      <c r="L78" s="133">
        <f t="shared" si="24"/>
        <v>0</v>
      </c>
      <c r="M78" s="132">
        <f>IF(SUM(K$28:K78)&gt;0,MIN(O77*(1+B$9)^(1/12),G$25-G78+K78),0)</f>
        <v>0</v>
      </c>
      <c r="N78" s="132">
        <f t="shared" si="8"/>
        <v>0</v>
      </c>
      <c r="O78" s="133">
        <f t="shared" si="9"/>
        <v>0</v>
      </c>
      <c r="P78" s="103">
        <f>SUM(N$27:N78)</f>
        <v>0</v>
      </c>
      <c r="Q78" s="103">
        <f t="shared" si="21"/>
        <v>0</v>
      </c>
      <c r="R78" s="103">
        <f t="shared" si="14"/>
        <v>0</v>
      </c>
      <c r="S78" s="103">
        <f t="shared" si="15"/>
        <v>0</v>
      </c>
      <c r="T78" s="103">
        <f t="shared" si="16"/>
        <v>0</v>
      </c>
      <c r="U78" s="96" t="s">
        <v>67</v>
      </c>
      <c r="V78" s="96" t="str">
        <f t="shared" si="10"/>
        <v>q</v>
      </c>
      <c r="W78" s="96" t="str">
        <f t="shared" si="17"/>
        <v>-</v>
      </c>
      <c r="X78" s="96" t="str">
        <f t="shared" si="18"/>
        <v>-</v>
      </c>
      <c r="Y78" s="107" t="str">
        <f t="shared" si="11"/>
        <v/>
      </c>
      <c r="Z78" s="71"/>
    </row>
    <row r="79" spans="1:26" x14ac:dyDescent="0.2">
      <c r="A79" s="108">
        <v>52</v>
      </c>
      <c r="B79" s="132">
        <f t="shared" si="22"/>
        <v>0</v>
      </c>
      <c r="C79" s="104">
        <f t="shared" si="19"/>
        <v>0</v>
      </c>
      <c r="D79" s="132">
        <f t="shared" si="3"/>
        <v>0</v>
      </c>
      <c r="E79" s="132">
        <f t="shared" si="4"/>
        <v>0</v>
      </c>
      <c r="F79" s="132">
        <f t="shared" si="5"/>
        <v>0</v>
      </c>
      <c r="G79" s="114">
        <f>IF(SUM(K$27:K78)&gt;0,0,IF(Y79&lt;&gt;"-",$B$3,0))</f>
        <v>0</v>
      </c>
      <c r="H79" s="114">
        <f t="shared" si="6"/>
        <v>0</v>
      </c>
      <c r="I79" s="105">
        <f t="shared" si="12"/>
        <v>0</v>
      </c>
      <c r="J79" s="105">
        <f t="shared" si="7"/>
        <v>0</v>
      </c>
      <c r="K79" s="132">
        <f t="shared" si="23"/>
        <v>0</v>
      </c>
      <c r="L79" s="133">
        <f t="shared" si="24"/>
        <v>0</v>
      </c>
      <c r="M79" s="132">
        <f>IF(SUM(K$28:K79)&gt;0,MIN(O78*(1+B$9)^(1/12),G$25-G79+K79),0)</f>
        <v>0</v>
      </c>
      <c r="N79" s="132">
        <f t="shared" si="8"/>
        <v>0</v>
      </c>
      <c r="O79" s="133">
        <f t="shared" si="9"/>
        <v>0</v>
      </c>
      <c r="P79" s="103">
        <f>SUM(N$27:N79)</f>
        <v>0</v>
      </c>
      <c r="Q79" s="103">
        <f t="shared" si="21"/>
        <v>0</v>
      </c>
      <c r="R79" s="103">
        <f t="shared" si="14"/>
        <v>0</v>
      </c>
      <c r="S79" s="103">
        <f t="shared" si="15"/>
        <v>0</v>
      </c>
      <c r="T79" s="103">
        <f t="shared" si="16"/>
        <v>0</v>
      </c>
      <c r="U79" s="96" t="s">
        <v>67</v>
      </c>
      <c r="V79" s="96" t="str">
        <f t="shared" si="10"/>
        <v>-</v>
      </c>
      <c r="W79" s="96" t="str">
        <f t="shared" si="17"/>
        <v>-</v>
      </c>
      <c r="X79" s="96" t="str">
        <f t="shared" si="18"/>
        <v>-</v>
      </c>
      <c r="Y79" s="107" t="str">
        <f t="shared" si="11"/>
        <v/>
      </c>
      <c r="Z79" s="71"/>
    </row>
    <row r="80" spans="1:26" x14ac:dyDescent="0.2">
      <c r="A80" s="108">
        <v>53</v>
      </c>
      <c r="B80" s="132">
        <f t="shared" si="22"/>
        <v>0</v>
      </c>
      <c r="C80" s="104">
        <f t="shared" si="19"/>
        <v>0</v>
      </c>
      <c r="D80" s="132">
        <f t="shared" si="3"/>
        <v>0</v>
      </c>
      <c r="E80" s="132">
        <f t="shared" si="4"/>
        <v>0</v>
      </c>
      <c r="F80" s="132">
        <f t="shared" si="5"/>
        <v>0</v>
      </c>
      <c r="G80" s="114">
        <f>IF(SUM(K$27:K79)&gt;0,0,IF(Y80&lt;&gt;"-",$B$3,0))</f>
        <v>0</v>
      </c>
      <c r="H80" s="114">
        <f t="shared" si="6"/>
        <v>0</v>
      </c>
      <c r="I80" s="105">
        <f t="shared" si="12"/>
        <v>0</v>
      </c>
      <c r="J80" s="105">
        <f t="shared" si="7"/>
        <v>0</v>
      </c>
      <c r="K80" s="132">
        <f t="shared" si="23"/>
        <v>0</v>
      </c>
      <c r="L80" s="133">
        <f t="shared" si="24"/>
        <v>0</v>
      </c>
      <c r="M80" s="132">
        <f>IF(SUM(K$28:K80)&gt;0,MIN(O79*(1+B$9)^(1/12),G$25-G80+K80),0)</f>
        <v>0</v>
      </c>
      <c r="N80" s="132">
        <f t="shared" si="8"/>
        <v>0</v>
      </c>
      <c r="O80" s="133">
        <f t="shared" si="9"/>
        <v>0</v>
      </c>
      <c r="P80" s="103">
        <f>SUM(N$27:N80)</f>
        <v>0</v>
      </c>
      <c r="Q80" s="103">
        <f t="shared" si="21"/>
        <v>0</v>
      </c>
      <c r="R80" s="103">
        <f t="shared" si="14"/>
        <v>0</v>
      </c>
      <c r="S80" s="103">
        <f t="shared" si="15"/>
        <v>0</v>
      </c>
      <c r="T80" s="103">
        <f t="shared" si="16"/>
        <v>0</v>
      </c>
      <c r="U80" s="96" t="s">
        <v>67</v>
      </c>
      <c r="V80" s="96" t="str">
        <f t="shared" si="10"/>
        <v>-</v>
      </c>
      <c r="W80" s="96" t="str">
        <f t="shared" si="17"/>
        <v>-</v>
      </c>
      <c r="X80" s="96" t="str">
        <f t="shared" si="18"/>
        <v>-</v>
      </c>
      <c r="Y80" s="107" t="str">
        <f t="shared" si="11"/>
        <v/>
      </c>
      <c r="Z80" s="71"/>
    </row>
    <row r="81" spans="1:26" x14ac:dyDescent="0.2">
      <c r="A81" s="108">
        <v>54</v>
      </c>
      <c r="B81" s="132">
        <f t="shared" si="22"/>
        <v>0</v>
      </c>
      <c r="C81" s="104">
        <f t="shared" si="19"/>
        <v>0</v>
      </c>
      <c r="D81" s="132">
        <f t="shared" si="3"/>
        <v>0</v>
      </c>
      <c r="E81" s="132">
        <f t="shared" si="4"/>
        <v>0</v>
      </c>
      <c r="F81" s="132">
        <f t="shared" si="5"/>
        <v>0</v>
      </c>
      <c r="G81" s="114">
        <f>IF(SUM(K$27:K80)&gt;0,0,IF(Y81&lt;&gt;"-",$B$3,0))</f>
        <v>0</v>
      </c>
      <c r="H81" s="114">
        <f t="shared" si="6"/>
        <v>0</v>
      </c>
      <c r="I81" s="105">
        <f t="shared" si="12"/>
        <v>0</v>
      </c>
      <c r="J81" s="105">
        <f t="shared" si="7"/>
        <v>0</v>
      </c>
      <c r="K81" s="132">
        <f t="shared" si="23"/>
        <v>0</v>
      </c>
      <c r="L81" s="133">
        <f t="shared" si="24"/>
        <v>0</v>
      </c>
      <c r="M81" s="132">
        <f>IF(SUM(K$28:K81)&gt;0,MIN(O80*(1+B$9)^(1/12),G$25-G81+K81),0)</f>
        <v>0</v>
      </c>
      <c r="N81" s="132">
        <f t="shared" si="8"/>
        <v>0</v>
      </c>
      <c r="O81" s="133">
        <f t="shared" si="9"/>
        <v>0</v>
      </c>
      <c r="P81" s="103">
        <f>SUM(N$27:N81)</f>
        <v>0</v>
      </c>
      <c r="Q81" s="103">
        <f t="shared" si="21"/>
        <v>0</v>
      </c>
      <c r="R81" s="103">
        <f t="shared" si="14"/>
        <v>0</v>
      </c>
      <c r="S81" s="103">
        <f t="shared" si="15"/>
        <v>0</v>
      </c>
      <c r="T81" s="103">
        <f t="shared" si="16"/>
        <v>0</v>
      </c>
      <c r="U81" s="96" t="s">
        <v>67</v>
      </c>
      <c r="V81" s="96" t="str">
        <f t="shared" si="10"/>
        <v>q</v>
      </c>
      <c r="W81" s="96" t="str">
        <f t="shared" si="17"/>
        <v>s</v>
      </c>
      <c r="X81" s="96" t="str">
        <f t="shared" si="18"/>
        <v>-</v>
      </c>
      <c r="Y81" s="107" t="str">
        <f t="shared" si="11"/>
        <v/>
      </c>
      <c r="Z81" s="71"/>
    </row>
    <row r="82" spans="1:26" x14ac:dyDescent="0.2">
      <c r="A82" s="108">
        <v>55</v>
      </c>
      <c r="B82" s="132">
        <f t="shared" si="22"/>
        <v>0</v>
      </c>
      <c r="C82" s="104">
        <f t="shared" si="19"/>
        <v>0</v>
      </c>
      <c r="D82" s="132">
        <f t="shared" si="3"/>
        <v>0</v>
      </c>
      <c r="E82" s="132">
        <f t="shared" si="4"/>
        <v>0</v>
      </c>
      <c r="F82" s="132">
        <f t="shared" si="5"/>
        <v>0</v>
      </c>
      <c r="G82" s="114">
        <f>IF(SUM(K$27:K81)&gt;0,0,IF(Y82&lt;&gt;"-",$B$3,0))</f>
        <v>0</v>
      </c>
      <c r="H82" s="114">
        <f t="shared" si="6"/>
        <v>0</v>
      </c>
      <c r="I82" s="105">
        <f t="shared" si="12"/>
        <v>0</v>
      </c>
      <c r="J82" s="105">
        <f t="shared" si="7"/>
        <v>0</v>
      </c>
      <c r="K82" s="132">
        <f t="shared" si="23"/>
        <v>0</v>
      </c>
      <c r="L82" s="133">
        <f t="shared" si="24"/>
        <v>0</v>
      </c>
      <c r="M82" s="132">
        <f>IF(SUM(K$28:K82)&gt;0,MIN(O81*(1+B$9)^(1/12),G$25-G82+K82),0)</f>
        <v>0</v>
      </c>
      <c r="N82" s="132">
        <f t="shared" si="8"/>
        <v>0</v>
      </c>
      <c r="O82" s="133">
        <f t="shared" si="9"/>
        <v>0</v>
      </c>
      <c r="P82" s="103">
        <f>SUM(N$27:N82)</f>
        <v>0</v>
      </c>
      <c r="Q82" s="103">
        <f t="shared" si="21"/>
        <v>0</v>
      </c>
      <c r="R82" s="103">
        <f t="shared" si="14"/>
        <v>0</v>
      </c>
      <c r="S82" s="103">
        <f t="shared" si="15"/>
        <v>0</v>
      </c>
      <c r="T82" s="103">
        <f t="shared" si="16"/>
        <v>0</v>
      </c>
      <c r="U82" s="96" t="s">
        <v>67</v>
      </c>
      <c r="V82" s="96" t="str">
        <f t="shared" si="10"/>
        <v>-</v>
      </c>
      <c r="W82" s="96" t="str">
        <f t="shared" si="17"/>
        <v>-</v>
      </c>
      <c r="X82" s="96" t="str">
        <f t="shared" si="18"/>
        <v>-</v>
      </c>
      <c r="Y82" s="107" t="str">
        <f t="shared" si="11"/>
        <v/>
      </c>
      <c r="Z82" s="71"/>
    </row>
    <row r="83" spans="1:26" x14ac:dyDescent="0.2">
      <c r="A83" s="108">
        <v>56</v>
      </c>
      <c r="B83" s="132">
        <f t="shared" si="22"/>
        <v>0</v>
      </c>
      <c r="C83" s="104">
        <f t="shared" si="19"/>
        <v>0</v>
      </c>
      <c r="D83" s="132">
        <f t="shared" si="3"/>
        <v>0</v>
      </c>
      <c r="E83" s="132">
        <f t="shared" si="4"/>
        <v>0</v>
      </c>
      <c r="F83" s="132">
        <f t="shared" si="5"/>
        <v>0</v>
      </c>
      <c r="G83" s="114">
        <f>IF(SUM(K$27:K82)&gt;0,0,IF(Y83&lt;&gt;"-",$B$3,0))</f>
        <v>0</v>
      </c>
      <c r="H83" s="114">
        <f t="shared" si="6"/>
        <v>0</v>
      </c>
      <c r="I83" s="105">
        <f t="shared" si="12"/>
        <v>0</v>
      </c>
      <c r="J83" s="105">
        <f t="shared" si="7"/>
        <v>0</v>
      </c>
      <c r="K83" s="132">
        <f t="shared" si="23"/>
        <v>0</v>
      </c>
      <c r="L83" s="133">
        <f t="shared" si="24"/>
        <v>0</v>
      </c>
      <c r="M83" s="132">
        <f>IF(SUM(K$28:K83)&gt;0,MIN(O82*(1+B$9)^(1/12),G$25-G83+K83),0)</f>
        <v>0</v>
      </c>
      <c r="N83" s="132">
        <f t="shared" si="8"/>
        <v>0</v>
      </c>
      <c r="O83" s="133">
        <f t="shared" si="9"/>
        <v>0</v>
      </c>
      <c r="P83" s="103">
        <f>SUM(N$27:N83)</f>
        <v>0</v>
      </c>
      <c r="Q83" s="103">
        <f t="shared" si="21"/>
        <v>0</v>
      </c>
      <c r="R83" s="103">
        <f t="shared" si="14"/>
        <v>0</v>
      </c>
      <c r="S83" s="103">
        <f t="shared" si="15"/>
        <v>0</v>
      </c>
      <c r="T83" s="103">
        <f t="shared" si="16"/>
        <v>0</v>
      </c>
      <c r="U83" s="96" t="s">
        <v>67</v>
      </c>
      <c r="V83" s="96" t="str">
        <f t="shared" si="10"/>
        <v>-</v>
      </c>
      <c r="W83" s="96" t="str">
        <f t="shared" si="17"/>
        <v>-</v>
      </c>
      <c r="X83" s="96" t="str">
        <f t="shared" si="18"/>
        <v>-</v>
      </c>
      <c r="Y83" s="107" t="str">
        <f t="shared" si="11"/>
        <v/>
      </c>
      <c r="Z83" s="71"/>
    </row>
    <row r="84" spans="1:26" x14ac:dyDescent="0.2">
      <c r="A84" s="108">
        <v>57</v>
      </c>
      <c r="B84" s="132">
        <f t="shared" si="22"/>
        <v>0</v>
      </c>
      <c r="C84" s="104">
        <f t="shared" si="19"/>
        <v>0</v>
      </c>
      <c r="D84" s="132">
        <f t="shared" si="3"/>
        <v>0</v>
      </c>
      <c r="E84" s="132">
        <f t="shared" si="4"/>
        <v>0</v>
      </c>
      <c r="F84" s="132">
        <f t="shared" si="5"/>
        <v>0</v>
      </c>
      <c r="G84" s="114">
        <f>IF(SUM(K$27:K83)&gt;0,0,IF(Y84&lt;&gt;"-",$B$3,0))</f>
        <v>0</v>
      </c>
      <c r="H84" s="114">
        <f t="shared" si="6"/>
        <v>0</v>
      </c>
      <c r="I84" s="105">
        <f t="shared" si="12"/>
        <v>0</v>
      </c>
      <c r="J84" s="105">
        <f t="shared" si="7"/>
        <v>0</v>
      </c>
      <c r="K84" s="132">
        <f t="shared" si="23"/>
        <v>0</v>
      </c>
      <c r="L84" s="133">
        <f t="shared" si="24"/>
        <v>0</v>
      </c>
      <c r="M84" s="132">
        <f>IF(SUM(K$28:K84)&gt;0,MIN(O83*(1+B$9)^(1/12),G$25-G84+K84),0)</f>
        <v>0</v>
      </c>
      <c r="N84" s="132">
        <f t="shared" si="8"/>
        <v>0</v>
      </c>
      <c r="O84" s="133">
        <f t="shared" si="9"/>
        <v>0</v>
      </c>
      <c r="P84" s="103">
        <f>SUM(N$27:N84)</f>
        <v>0</v>
      </c>
      <c r="Q84" s="103">
        <f t="shared" si="21"/>
        <v>0</v>
      </c>
      <c r="R84" s="103">
        <f t="shared" si="14"/>
        <v>0</v>
      </c>
      <c r="S84" s="103">
        <f t="shared" si="15"/>
        <v>0</v>
      </c>
      <c r="T84" s="103">
        <f t="shared" si="16"/>
        <v>0</v>
      </c>
      <c r="U84" s="96" t="s">
        <v>67</v>
      </c>
      <c r="V84" s="96" t="str">
        <f t="shared" si="10"/>
        <v>q</v>
      </c>
      <c r="W84" s="96" t="str">
        <f t="shared" si="17"/>
        <v>-</v>
      </c>
      <c r="X84" s="96" t="str">
        <f t="shared" si="18"/>
        <v>-</v>
      </c>
      <c r="Y84" s="107" t="str">
        <f t="shared" si="11"/>
        <v/>
      </c>
      <c r="Z84" s="71"/>
    </row>
    <row r="85" spans="1:26" x14ac:dyDescent="0.2">
      <c r="A85" s="108">
        <v>58</v>
      </c>
      <c r="B85" s="132">
        <f t="shared" si="22"/>
        <v>0</v>
      </c>
      <c r="C85" s="104">
        <f t="shared" si="19"/>
        <v>0</v>
      </c>
      <c r="D85" s="132">
        <f t="shared" si="3"/>
        <v>0</v>
      </c>
      <c r="E85" s="132">
        <f t="shared" si="4"/>
        <v>0</v>
      </c>
      <c r="F85" s="132">
        <f t="shared" si="5"/>
        <v>0</v>
      </c>
      <c r="G85" s="114">
        <f>IF(SUM(K$27:K84)&gt;0,0,IF(Y85&lt;&gt;"-",$B$3,0))</f>
        <v>0</v>
      </c>
      <c r="H85" s="114">
        <f t="shared" si="6"/>
        <v>0</v>
      </c>
      <c r="I85" s="105">
        <f t="shared" si="12"/>
        <v>0</v>
      </c>
      <c r="J85" s="105">
        <f t="shared" si="7"/>
        <v>0</v>
      </c>
      <c r="K85" s="132">
        <f t="shared" si="23"/>
        <v>0</v>
      </c>
      <c r="L85" s="133">
        <f t="shared" si="24"/>
        <v>0</v>
      </c>
      <c r="M85" s="132">
        <f>IF(SUM(K$28:K85)&gt;0,MIN(O84*(1+B$9)^(1/12),G$25-G85+K85),0)</f>
        <v>0</v>
      </c>
      <c r="N85" s="132">
        <f t="shared" si="8"/>
        <v>0</v>
      </c>
      <c r="O85" s="133">
        <f t="shared" si="9"/>
        <v>0</v>
      </c>
      <c r="P85" s="103">
        <f>SUM(N$27:N85)</f>
        <v>0</v>
      </c>
      <c r="Q85" s="103">
        <f t="shared" si="21"/>
        <v>0</v>
      </c>
      <c r="R85" s="103">
        <f t="shared" si="14"/>
        <v>0</v>
      </c>
      <c r="S85" s="103">
        <f t="shared" si="15"/>
        <v>0</v>
      </c>
      <c r="T85" s="103">
        <f t="shared" si="16"/>
        <v>0</v>
      </c>
      <c r="U85" s="96" t="s">
        <v>67</v>
      </c>
      <c r="V85" s="96" t="str">
        <f t="shared" si="10"/>
        <v>-</v>
      </c>
      <c r="W85" s="96" t="str">
        <f t="shared" si="17"/>
        <v>-</v>
      </c>
      <c r="X85" s="96" t="str">
        <f t="shared" si="18"/>
        <v>-</v>
      </c>
      <c r="Y85" s="107" t="str">
        <f t="shared" si="11"/>
        <v/>
      </c>
      <c r="Z85" s="71"/>
    </row>
    <row r="86" spans="1:26" x14ac:dyDescent="0.2">
      <c r="A86" s="108">
        <v>59</v>
      </c>
      <c r="B86" s="132">
        <f t="shared" si="22"/>
        <v>0</v>
      </c>
      <c r="C86" s="104">
        <f t="shared" si="19"/>
        <v>0</v>
      </c>
      <c r="D86" s="132">
        <f t="shared" si="3"/>
        <v>0</v>
      </c>
      <c r="E86" s="132">
        <f t="shared" si="4"/>
        <v>0</v>
      </c>
      <c r="F86" s="132">
        <f t="shared" si="5"/>
        <v>0</v>
      </c>
      <c r="G86" s="114">
        <f>IF(SUM(K$27:K85)&gt;0,0,IF(Y86&lt;&gt;"-",$B$3,0))</f>
        <v>0</v>
      </c>
      <c r="H86" s="114">
        <f t="shared" si="6"/>
        <v>0</v>
      </c>
      <c r="I86" s="105">
        <f t="shared" si="12"/>
        <v>0</v>
      </c>
      <c r="J86" s="105">
        <f t="shared" si="7"/>
        <v>0</v>
      </c>
      <c r="K86" s="132">
        <f t="shared" si="23"/>
        <v>0</v>
      </c>
      <c r="L86" s="133">
        <f t="shared" si="24"/>
        <v>0</v>
      </c>
      <c r="M86" s="132">
        <f>IF(SUM(K$28:K86)&gt;0,MIN(O85*(1+B$9)^(1/12),G$25-G86+K86),0)</f>
        <v>0</v>
      </c>
      <c r="N86" s="132">
        <f t="shared" si="8"/>
        <v>0</v>
      </c>
      <c r="O86" s="133">
        <f t="shared" si="9"/>
        <v>0</v>
      </c>
      <c r="P86" s="103">
        <f>SUM(N$27:N86)</f>
        <v>0</v>
      </c>
      <c r="Q86" s="103">
        <f t="shared" si="21"/>
        <v>0</v>
      </c>
      <c r="R86" s="103">
        <f t="shared" si="14"/>
        <v>0</v>
      </c>
      <c r="S86" s="103">
        <f t="shared" si="15"/>
        <v>0</v>
      </c>
      <c r="T86" s="103">
        <f t="shared" si="16"/>
        <v>0</v>
      </c>
      <c r="U86" s="96" t="s">
        <v>67</v>
      </c>
      <c r="V86" s="96" t="str">
        <f t="shared" si="10"/>
        <v>-</v>
      </c>
      <c r="W86" s="96" t="str">
        <f t="shared" si="17"/>
        <v>-</v>
      </c>
      <c r="X86" s="96" t="str">
        <f t="shared" si="18"/>
        <v>-</v>
      </c>
      <c r="Y86" s="107" t="str">
        <f t="shared" si="11"/>
        <v/>
      </c>
      <c r="Z86" s="71"/>
    </row>
    <row r="87" spans="1:26" x14ac:dyDescent="0.2">
      <c r="A87" s="110">
        <v>60</v>
      </c>
      <c r="B87" s="111">
        <f t="shared" si="22"/>
        <v>0</v>
      </c>
      <c r="C87" s="111">
        <f t="shared" si="19"/>
        <v>0</v>
      </c>
      <c r="D87" s="111">
        <f t="shared" si="3"/>
        <v>0</v>
      </c>
      <c r="E87" s="111">
        <f t="shared" si="4"/>
        <v>0</v>
      </c>
      <c r="F87" s="111">
        <f t="shared" si="5"/>
        <v>0</v>
      </c>
      <c r="G87" s="112">
        <f>IF(SUM(K$27:K86)&gt;0,0,IF(Y87&lt;&gt;"-",$B$3,0))</f>
        <v>0</v>
      </c>
      <c r="H87" s="112">
        <f t="shared" si="6"/>
        <v>0</v>
      </c>
      <c r="I87" s="112">
        <f t="shared" si="12"/>
        <v>0</v>
      </c>
      <c r="J87" s="112">
        <f t="shared" si="7"/>
        <v>0</v>
      </c>
      <c r="K87" s="111">
        <f t="shared" si="23"/>
        <v>0</v>
      </c>
      <c r="L87" s="113">
        <f t="shared" si="24"/>
        <v>0</v>
      </c>
      <c r="M87" s="111">
        <f>IF(SUM(K$28:K87)&gt;0,MIN(O86*(1+B$9)^(1/12),G$25-G87+K87),0)</f>
        <v>0</v>
      </c>
      <c r="N87" s="111">
        <f t="shared" si="8"/>
        <v>0</v>
      </c>
      <c r="O87" s="113">
        <f t="shared" si="9"/>
        <v>0</v>
      </c>
      <c r="P87" s="111">
        <f>SUM(N$27:N87)</f>
        <v>0</v>
      </c>
      <c r="Q87" s="111">
        <f t="shared" si="21"/>
        <v>0</v>
      </c>
      <c r="R87" s="111">
        <f t="shared" si="14"/>
        <v>0</v>
      </c>
      <c r="S87" s="111">
        <f t="shared" si="15"/>
        <v>0</v>
      </c>
      <c r="T87" s="111">
        <f t="shared" si="16"/>
        <v>0</v>
      </c>
      <c r="U87" s="101" t="s">
        <v>67</v>
      </c>
      <c r="V87" s="101" t="str">
        <f t="shared" si="10"/>
        <v>q</v>
      </c>
      <c r="W87" s="101" t="str">
        <f t="shared" si="17"/>
        <v>s</v>
      </c>
      <c r="X87" s="101" t="str">
        <f t="shared" si="18"/>
        <v>a</v>
      </c>
      <c r="Y87" s="107" t="str">
        <f t="shared" si="11"/>
        <v/>
      </c>
      <c r="Z87" s="71"/>
    </row>
    <row r="88" spans="1:26" x14ac:dyDescent="0.2">
      <c r="A88" s="108">
        <v>61</v>
      </c>
      <c r="B88" s="132">
        <f t="shared" si="22"/>
        <v>0</v>
      </c>
      <c r="C88" s="104">
        <f t="shared" si="19"/>
        <v>0</v>
      </c>
      <c r="D88" s="132">
        <f t="shared" si="3"/>
        <v>0</v>
      </c>
      <c r="E88" s="132">
        <f t="shared" si="4"/>
        <v>0</v>
      </c>
      <c r="F88" s="132">
        <f t="shared" si="5"/>
        <v>0</v>
      </c>
      <c r="G88" s="114">
        <f>IF(SUM(K$27:K87)&gt;0,0,IF(Y88&lt;&gt;"-",$B$3,0))</f>
        <v>0</v>
      </c>
      <c r="H88" s="114">
        <f t="shared" si="6"/>
        <v>0</v>
      </c>
      <c r="I88" s="105">
        <f t="shared" si="12"/>
        <v>0</v>
      </c>
      <c r="J88" s="105">
        <f t="shared" si="7"/>
        <v>0</v>
      </c>
      <c r="K88" s="132">
        <f t="shared" si="23"/>
        <v>0</v>
      </c>
      <c r="L88" s="133">
        <f t="shared" si="24"/>
        <v>0</v>
      </c>
      <c r="M88" s="132">
        <f>IF(SUM(K$28:K88)&gt;0,MIN(O87*(1+B$9)^(1/12),G$25-G88+K88),0)</f>
        <v>0</v>
      </c>
      <c r="N88" s="132">
        <f t="shared" si="8"/>
        <v>0</v>
      </c>
      <c r="O88" s="133">
        <f t="shared" si="9"/>
        <v>0</v>
      </c>
      <c r="P88" s="103">
        <f>SUM(N$27:N88)</f>
        <v>0</v>
      </c>
      <c r="Q88" s="103">
        <f t="shared" si="21"/>
        <v>0</v>
      </c>
      <c r="R88" s="103">
        <f t="shared" si="14"/>
        <v>0</v>
      </c>
      <c r="S88" s="103">
        <f t="shared" si="15"/>
        <v>0</v>
      </c>
      <c r="T88" s="103">
        <f t="shared" si="16"/>
        <v>0</v>
      </c>
      <c r="U88" s="96" t="s">
        <v>67</v>
      </c>
      <c r="V88" s="96" t="str">
        <f t="shared" si="10"/>
        <v>-</v>
      </c>
      <c r="W88" s="96" t="str">
        <f t="shared" si="17"/>
        <v>-</v>
      </c>
      <c r="X88" s="96" t="str">
        <f t="shared" si="18"/>
        <v>-</v>
      </c>
      <c r="Y88" s="107" t="str">
        <f t="shared" si="11"/>
        <v/>
      </c>
      <c r="Z88" s="71"/>
    </row>
    <row r="89" spans="1:26" x14ac:dyDescent="0.2">
      <c r="A89" s="108">
        <v>62</v>
      </c>
      <c r="B89" s="132">
        <f t="shared" si="22"/>
        <v>0</v>
      </c>
      <c r="C89" s="104">
        <f t="shared" si="19"/>
        <v>0</v>
      </c>
      <c r="D89" s="132">
        <f t="shared" si="3"/>
        <v>0</v>
      </c>
      <c r="E89" s="132">
        <f t="shared" si="4"/>
        <v>0</v>
      </c>
      <c r="F89" s="132">
        <f t="shared" si="5"/>
        <v>0</v>
      </c>
      <c r="G89" s="114">
        <f>IF(SUM(K$27:K88)&gt;0,0,IF(Y89&lt;&gt;"-",$B$3,0))</f>
        <v>0</v>
      </c>
      <c r="H89" s="114">
        <f t="shared" si="6"/>
        <v>0</v>
      </c>
      <c r="I89" s="105">
        <f t="shared" si="12"/>
        <v>0</v>
      </c>
      <c r="J89" s="105">
        <f t="shared" si="7"/>
        <v>0</v>
      </c>
      <c r="K89" s="132">
        <f t="shared" si="23"/>
        <v>0</v>
      </c>
      <c r="L89" s="133">
        <f t="shared" si="24"/>
        <v>0</v>
      </c>
      <c r="M89" s="132">
        <f>IF(SUM(K$28:K89)&gt;0,MIN(O88*(1+B$9)^(1/12),G$25-G89+K89),0)</f>
        <v>0</v>
      </c>
      <c r="N89" s="132">
        <f t="shared" si="8"/>
        <v>0</v>
      </c>
      <c r="O89" s="133">
        <f t="shared" si="9"/>
        <v>0</v>
      </c>
      <c r="P89" s="103">
        <f>SUM(N$27:N89)</f>
        <v>0</v>
      </c>
      <c r="Q89" s="103">
        <f t="shared" si="21"/>
        <v>0</v>
      </c>
      <c r="R89" s="103">
        <f t="shared" si="14"/>
        <v>0</v>
      </c>
      <c r="S89" s="103">
        <f t="shared" si="15"/>
        <v>0</v>
      </c>
      <c r="T89" s="103">
        <f t="shared" si="16"/>
        <v>0</v>
      </c>
      <c r="U89" s="96" t="s">
        <v>67</v>
      </c>
      <c r="V89" s="96" t="str">
        <f t="shared" si="10"/>
        <v>-</v>
      </c>
      <c r="W89" s="96" t="str">
        <f t="shared" si="17"/>
        <v>-</v>
      </c>
      <c r="X89" s="96" t="str">
        <f t="shared" si="18"/>
        <v>-</v>
      </c>
      <c r="Y89" s="107" t="str">
        <f t="shared" si="11"/>
        <v/>
      </c>
      <c r="Z89" s="71"/>
    </row>
    <row r="90" spans="1:26" x14ac:dyDescent="0.2">
      <c r="A90" s="108">
        <v>63</v>
      </c>
      <c r="B90" s="132">
        <f t="shared" si="22"/>
        <v>0</v>
      </c>
      <c r="C90" s="104">
        <f t="shared" si="19"/>
        <v>0</v>
      </c>
      <c r="D90" s="132">
        <f t="shared" si="3"/>
        <v>0</v>
      </c>
      <c r="E90" s="132">
        <f t="shared" si="4"/>
        <v>0</v>
      </c>
      <c r="F90" s="132">
        <f t="shared" si="5"/>
        <v>0</v>
      </c>
      <c r="G90" s="114">
        <f>IF(SUM(K$27:K89)&gt;0,0,IF(Y90&lt;&gt;"-",$B$3,0))</f>
        <v>0</v>
      </c>
      <c r="H90" s="114">
        <f t="shared" si="6"/>
        <v>0</v>
      </c>
      <c r="I90" s="105">
        <f t="shared" si="12"/>
        <v>0</v>
      </c>
      <c r="J90" s="105">
        <f t="shared" si="7"/>
        <v>0</v>
      </c>
      <c r="K90" s="132">
        <f t="shared" si="23"/>
        <v>0</v>
      </c>
      <c r="L90" s="133">
        <f t="shared" si="24"/>
        <v>0</v>
      </c>
      <c r="M90" s="132">
        <f>IF(SUM(K$28:K90)&gt;0,MIN(O89*(1+B$9)^(1/12),G$25-G90+K90),0)</f>
        <v>0</v>
      </c>
      <c r="N90" s="132">
        <f t="shared" si="8"/>
        <v>0</v>
      </c>
      <c r="O90" s="133">
        <f t="shared" si="9"/>
        <v>0</v>
      </c>
      <c r="P90" s="103">
        <f>SUM(N$27:N90)</f>
        <v>0</v>
      </c>
      <c r="Q90" s="103">
        <f t="shared" si="21"/>
        <v>0</v>
      </c>
      <c r="R90" s="103">
        <f t="shared" si="14"/>
        <v>0</v>
      </c>
      <c r="S90" s="103">
        <f t="shared" si="15"/>
        <v>0</v>
      </c>
      <c r="T90" s="103">
        <f t="shared" si="16"/>
        <v>0</v>
      </c>
      <c r="U90" s="96" t="s">
        <v>67</v>
      </c>
      <c r="V90" s="96" t="str">
        <f t="shared" si="10"/>
        <v>q</v>
      </c>
      <c r="W90" s="96" t="str">
        <f t="shared" si="17"/>
        <v>-</v>
      </c>
      <c r="X90" s="96" t="str">
        <f t="shared" si="18"/>
        <v>-</v>
      </c>
      <c r="Y90" s="107" t="str">
        <f t="shared" si="11"/>
        <v/>
      </c>
      <c r="Z90" s="71"/>
    </row>
    <row r="91" spans="1:26" x14ac:dyDescent="0.2">
      <c r="A91" s="108">
        <v>64</v>
      </c>
      <c r="B91" s="132">
        <f t="shared" si="22"/>
        <v>0</v>
      </c>
      <c r="C91" s="104">
        <f t="shared" si="19"/>
        <v>0</v>
      </c>
      <c r="D91" s="132">
        <f t="shared" si="3"/>
        <v>0</v>
      </c>
      <c r="E91" s="132">
        <f t="shared" si="4"/>
        <v>0</v>
      </c>
      <c r="F91" s="132">
        <f t="shared" si="5"/>
        <v>0</v>
      </c>
      <c r="G91" s="114">
        <f>IF(SUM(K$27:K90)&gt;0,0,IF(Y91&lt;&gt;"-",$B$3,0))</f>
        <v>0</v>
      </c>
      <c r="H91" s="114">
        <f t="shared" si="6"/>
        <v>0</v>
      </c>
      <c r="I91" s="105">
        <f t="shared" si="12"/>
        <v>0</v>
      </c>
      <c r="J91" s="105">
        <f t="shared" si="7"/>
        <v>0</v>
      </c>
      <c r="K91" s="132">
        <f t="shared" si="23"/>
        <v>0</v>
      </c>
      <c r="L91" s="133">
        <f t="shared" si="24"/>
        <v>0</v>
      </c>
      <c r="M91" s="132">
        <f>IF(SUM(K$28:K91)&gt;0,MIN(O90*(1+B$9)^(1/12),G$25-G91+K91),0)</f>
        <v>0</v>
      </c>
      <c r="N91" s="132">
        <f t="shared" si="8"/>
        <v>0</v>
      </c>
      <c r="O91" s="133">
        <f t="shared" si="9"/>
        <v>0</v>
      </c>
      <c r="P91" s="103">
        <f>SUM(N$27:N91)</f>
        <v>0</v>
      </c>
      <c r="Q91" s="103">
        <f t="shared" si="21"/>
        <v>0</v>
      </c>
      <c r="R91" s="103">
        <f t="shared" si="14"/>
        <v>0</v>
      </c>
      <c r="S91" s="103">
        <f t="shared" si="15"/>
        <v>0</v>
      </c>
      <c r="T91" s="103">
        <f t="shared" si="16"/>
        <v>0</v>
      </c>
      <c r="U91" s="96" t="s">
        <v>67</v>
      </c>
      <c r="V91" s="96" t="str">
        <f t="shared" si="10"/>
        <v>-</v>
      </c>
      <c r="W91" s="96" t="str">
        <f t="shared" si="17"/>
        <v>-</v>
      </c>
      <c r="X91" s="96" t="str">
        <f t="shared" si="18"/>
        <v>-</v>
      </c>
      <c r="Y91" s="107" t="str">
        <f t="shared" si="11"/>
        <v/>
      </c>
      <c r="Z91" s="71"/>
    </row>
    <row r="92" spans="1:26" x14ac:dyDescent="0.2">
      <c r="A92" s="108">
        <v>65</v>
      </c>
      <c r="B92" s="132">
        <f t="shared" si="22"/>
        <v>0</v>
      </c>
      <c r="C92" s="104">
        <f t="shared" si="19"/>
        <v>0</v>
      </c>
      <c r="D92" s="132">
        <f t="shared" ref="D92:D147" si="25">IF(Y92&lt;&gt;"-",$B$2,0)</f>
        <v>0</v>
      </c>
      <c r="E92" s="132">
        <f t="shared" ref="E92:E147" si="26">C92*(1+$B$9)^(1/12)-C92-F92</f>
        <v>0</v>
      </c>
      <c r="F92" s="132">
        <f t="shared" ref="F92:F147" si="27">C92*(1+$B$10)^(1/12)-C92</f>
        <v>0</v>
      </c>
      <c r="G92" s="114">
        <f>IF(SUM(K$27:K91)&gt;0,0,IF(Y92&lt;&gt;"-",$B$3,0))</f>
        <v>0</v>
      </c>
      <c r="H92" s="114">
        <f t="shared" ref="H92:H147" si="28">IF($B$7="No",F92,0)</f>
        <v>0</v>
      </c>
      <c r="I92" s="105">
        <f t="shared" si="12"/>
        <v>0</v>
      </c>
      <c r="J92" s="105">
        <f t="shared" ref="J92:J147" si="29">VLOOKUP(C92,$D$3:$J$9,7,TRUE)-VLOOKUP(C92,$D$3:$J$9,4,TRUE)*(VLOOKUP(C92,$D$3:$J$9,2,TRUE)-C92)/12</f>
        <v>0</v>
      </c>
      <c r="K92" s="132">
        <f t="shared" si="23"/>
        <v>0</v>
      </c>
      <c r="L92" s="133">
        <f t="shared" si="24"/>
        <v>0</v>
      </c>
      <c r="M92" s="132">
        <f>IF(SUM(K$28:K92)&gt;0,MIN(O91*(1+B$9)^(1/12),G$25-G92+K92),0)</f>
        <v>0</v>
      </c>
      <c r="N92" s="132">
        <f t="shared" ref="N92:N147" si="30">(O91-L91)*((1+B$9)^(1/12)-1)+J92+I92</f>
        <v>0</v>
      </c>
      <c r="O92" s="133">
        <f t="shared" ref="O92:O147" si="31">(O91)*(1+B$9)^(1/12)+D92-G92-H92-M92+K92/(1+B$9)</f>
        <v>0</v>
      </c>
      <c r="P92" s="103">
        <f>SUM(N$27:N92)</f>
        <v>0</v>
      </c>
      <c r="Q92" s="103">
        <f t="shared" si="21"/>
        <v>0</v>
      </c>
      <c r="R92" s="103">
        <f t="shared" si="14"/>
        <v>0</v>
      </c>
      <c r="S92" s="103">
        <f t="shared" si="15"/>
        <v>0</v>
      </c>
      <c r="T92" s="103">
        <f t="shared" si="16"/>
        <v>0</v>
      </c>
      <c r="U92" s="96" t="s">
        <v>67</v>
      </c>
      <c r="V92" s="96" t="str">
        <f t="shared" ref="V92:V147" si="32">IF(MOD(A92,3)=0,"q","-")</f>
        <v>-</v>
      </c>
      <c r="W92" s="96" t="str">
        <f t="shared" si="17"/>
        <v>-</v>
      </c>
      <c r="X92" s="96" t="str">
        <f t="shared" si="18"/>
        <v>-</v>
      </c>
      <c r="Y92" s="107" t="str">
        <f t="shared" ref="Y92:Y147" si="33">IF($B$15="Monthly",$U92,"")
&amp;IF($B$15="Quarterly",$V92,"")
&amp;IF($B$15="1/2 Yearly",$W92,"")
&amp;IF($B$15="Yearly",$X92,"")</f>
        <v/>
      </c>
      <c r="Z92" s="71"/>
    </row>
    <row r="93" spans="1:26" x14ac:dyDescent="0.2">
      <c r="A93" s="108">
        <v>66</v>
      </c>
      <c r="B93" s="132">
        <f t="shared" si="22"/>
        <v>0</v>
      </c>
      <c r="C93" s="104">
        <f t="shared" si="19"/>
        <v>0</v>
      </c>
      <c r="D93" s="132">
        <f t="shared" si="25"/>
        <v>0</v>
      </c>
      <c r="E93" s="132">
        <f t="shared" si="26"/>
        <v>0</v>
      </c>
      <c r="F93" s="132">
        <f t="shared" si="27"/>
        <v>0</v>
      </c>
      <c r="G93" s="114">
        <f>IF(SUM(K$27:K92)&gt;0,0,IF(Y93&lt;&gt;"-",$B$3,0))</f>
        <v>0</v>
      </c>
      <c r="H93" s="114">
        <f t="shared" si="28"/>
        <v>0</v>
      </c>
      <c r="I93" s="105">
        <f t="shared" ref="I93:I147" si="34">IF( A93&lt;12,($B$4+$B$6)*D93,IF(MOD(A93,12)=1,$B$8+($B$4+$B$6)*D93,($B$4+$B$6)*D93))</f>
        <v>0</v>
      </c>
      <c r="J93" s="105">
        <f t="shared" si="29"/>
        <v>0</v>
      </c>
      <c r="K93" s="132">
        <f t="shared" si="23"/>
        <v>0</v>
      </c>
      <c r="L93" s="133">
        <f t="shared" si="24"/>
        <v>0</v>
      </c>
      <c r="M93" s="132">
        <f>IF(SUM(K$28:K93)&gt;0,MIN(O92*(1+B$9)^(1/12),G$25-G93+K93),0)</f>
        <v>0</v>
      </c>
      <c r="N93" s="132">
        <f t="shared" si="30"/>
        <v>0</v>
      </c>
      <c r="O93" s="133">
        <f t="shared" si="31"/>
        <v>0</v>
      </c>
      <c r="P93" s="103">
        <f>SUM(N$27:N93)</f>
        <v>0</v>
      </c>
      <c r="Q93" s="103">
        <f t="shared" si="21"/>
        <v>0</v>
      </c>
      <c r="R93" s="103">
        <f t="shared" ref="R93:R147" si="35">R92+G93</f>
        <v>0</v>
      </c>
      <c r="S93" s="103">
        <f t="shared" ref="S93:S147" si="36">H93+S92</f>
        <v>0</v>
      </c>
      <c r="T93" s="103">
        <f t="shared" ref="T93:T147" si="37">L93</f>
        <v>0</v>
      </c>
      <c r="U93" s="96" t="s">
        <v>67</v>
      </c>
      <c r="V93" s="96" t="str">
        <f t="shared" si="32"/>
        <v>q</v>
      </c>
      <c r="W93" s="96" t="str">
        <f t="shared" ref="W93:W147" si="38">IF(MOD($A93,6)=0,"s","-")</f>
        <v>s</v>
      </c>
      <c r="X93" s="96" t="str">
        <f t="shared" ref="X93:X147" si="39">IF(MOD($A93,12)=0,"a","-")</f>
        <v>-</v>
      </c>
      <c r="Y93" s="107" t="str">
        <f t="shared" si="33"/>
        <v/>
      </c>
      <c r="Z93" s="71"/>
    </row>
    <row r="94" spans="1:26" x14ac:dyDescent="0.2">
      <c r="A94" s="108">
        <v>67</v>
      </c>
      <c r="B94" s="132">
        <f t="shared" si="22"/>
        <v>0</v>
      </c>
      <c r="C94" s="104">
        <f t="shared" ref="C94:C147" si="40">L93</f>
        <v>0</v>
      </c>
      <c r="D94" s="132">
        <f t="shared" si="25"/>
        <v>0</v>
      </c>
      <c r="E94" s="132">
        <f t="shared" si="26"/>
        <v>0</v>
      </c>
      <c r="F94" s="132">
        <f t="shared" si="27"/>
        <v>0</v>
      </c>
      <c r="G94" s="114">
        <f>IF(SUM(K$27:K93)&gt;0,0,IF(Y94&lt;&gt;"-",$B$3,0))</f>
        <v>0</v>
      </c>
      <c r="H94" s="114">
        <f t="shared" si="28"/>
        <v>0</v>
      </c>
      <c r="I94" s="105">
        <f t="shared" si="34"/>
        <v>0</v>
      </c>
      <c r="J94" s="105">
        <f t="shared" si="29"/>
        <v>0</v>
      </c>
      <c r="K94" s="132">
        <f t="shared" si="23"/>
        <v>0</v>
      </c>
      <c r="L94" s="133">
        <f t="shared" si="24"/>
        <v>0</v>
      </c>
      <c r="M94" s="132">
        <f>IF(SUM(K$28:K94)&gt;0,MIN(O93*(1+B$9)^(1/12),G$25-G94+K94),0)</f>
        <v>0</v>
      </c>
      <c r="N94" s="132">
        <f t="shared" si="30"/>
        <v>0</v>
      </c>
      <c r="O94" s="133">
        <f t="shared" si="31"/>
        <v>0</v>
      </c>
      <c r="P94" s="103">
        <f>SUM(N$27:N94)</f>
        <v>0</v>
      </c>
      <c r="Q94" s="103">
        <f t="shared" si="21"/>
        <v>0</v>
      </c>
      <c r="R94" s="103">
        <f t="shared" si="35"/>
        <v>0</v>
      </c>
      <c r="S94" s="103">
        <f t="shared" si="36"/>
        <v>0</v>
      </c>
      <c r="T94" s="103">
        <f t="shared" si="37"/>
        <v>0</v>
      </c>
      <c r="U94" s="96" t="s">
        <v>67</v>
      </c>
      <c r="V94" s="96" t="str">
        <f t="shared" si="32"/>
        <v>-</v>
      </c>
      <c r="W94" s="96" t="str">
        <f t="shared" si="38"/>
        <v>-</v>
      </c>
      <c r="X94" s="96" t="str">
        <f t="shared" si="39"/>
        <v>-</v>
      </c>
      <c r="Y94" s="107" t="str">
        <f t="shared" si="33"/>
        <v/>
      </c>
      <c r="Z94" s="71"/>
    </row>
    <row r="95" spans="1:26" x14ac:dyDescent="0.2">
      <c r="A95" s="108">
        <v>68</v>
      </c>
      <c r="B95" s="132">
        <f t="shared" si="22"/>
        <v>0</v>
      </c>
      <c r="C95" s="104">
        <f t="shared" si="40"/>
        <v>0</v>
      </c>
      <c r="D95" s="132">
        <f t="shared" si="25"/>
        <v>0</v>
      </c>
      <c r="E95" s="132">
        <f t="shared" si="26"/>
        <v>0</v>
      </c>
      <c r="F95" s="132">
        <f t="shared" si="27"/>
        <v>0</v>
      </c>
      <c r="G95" s="114">
        <f>IF(SUM(K$27:K94)&gt;0,0,IF(Y95&lt;&gt;"-",$B$3,0))</f>
        <v>0</v>
      </c>
      <c r="H95" s="114">
        <f t="shared" si="28"/>
        <v>0</v>
      </c>
      <c r="I95" s="105">
        <f t="shared" si="34"/>
        <v>0</v>
      </c>
      <c r="J95" s="105">
        <f t="shared" si="29"/>
        <v>0</v>
      </c>
      <c r="K95" s="132">
        <f t="shared" si="23"/>
        <v>0</v>
      </c>
      <c r="L95" s="133">
        <f t="shared" si="24"/>
        <v>0</v>
      </c>
      <c r="M95" s="132">
        <f>IF(SUM(K$28:K95)&gt;0,MIN(O94*(1+B$9)^(1/12),G$25-G95+K95),0)</f>
        <v>0</v>
      </c>
      <c r="N95" s="132">
        <f t="shared" si="30"/>
        <v>0</v>
      </c>
      <c r="O95" s="133">
        <f t="shared" si="31"/>
        <v>0</v>
      </c>
      <c r="P95" s="103">
        <f>SUM(N$27:N95)</f>
        <v>0</v>
      </c>
      <c r="Q95" s="103">
        <f t="shared" si="21"/>
        <v>0</v>
      </c>
      <c r="R95" s="103">
        <f t="shared" si="35"/>
        <v>0</v>
      </c>
      <c r="S95" s="103">
        <f t="shared" si="36"/>
        <v>0</v>
      </c>
      <c r="T95" s="103">
        <f t="shared" si="37"/>
        <v>0</v>
      </c>
      <c r="U95" s="96" t="s">
        <v>67</v>
      </c>
      <c r="V95" s="96" t="str">
        <f t="shared" si="32"/>
        <v>-</v>
      </c>
      <c r="W95" s="96" t="str">
        <f t="shared" si="38"/>
        <v>-</v>
      </c>
      <c r="X95" s="96" t="str">
        <f t="shared" si="39"/>
        <v>-</v>
      </c>
      <c r="Y95" s="107" t="str">
        <f t="shared" si="33"/>
        <v/>
      </c>
      <c r="Z95" s="71"/>
    </row>
    <row r="96" spans="1:26" x14ac:dyDescent="0.2">
      <c r="A96" s="108">
        <v>69</v>
      </c>
      <c r="B96" s="132">
        <f t="shared" si="22"/>
        <v>0</v>
      </c>
      <c r="C96" s="104">
        <f t="shared" si="40"/>
        <v>0</v>
      </c>
      <c r="D96" s="132">
        <f t="shared" si="25"/>
        <v>0</v>
      </c>
      <c r="E96" s="132">
        <f t="shared" si="26"/>
        <v>0</v>
      </c>
      <c r="F96" s="132">
        <f t="shared" si="27"/>
        <v>0</v>
      </c>
      <c r="G96" s="114">
        <f>IF(SUM(K$27:K95)&gt;0,0,IF(Y96&lt;&gt;"-",$B$3,0))</f>
        <v>0</v>
      </c>
      <c r="H96" s="114">
        <f t="shared" si="28"/>
        <v>0</v>
      </c>
      <c r="I96" s="105">
        <f t="shared" si="34"/>
        <v>0</v>
      </c>
      <c r="J96" s="105">
        <f t="shared" si="29"/>
        <v>0</v>
      </c>
      <c r="K96" s="132">
        <f t="shared" si="23"/>
        <v>0</v>
      </c>
      <c r="L96" s="133">
        <f t="shared" si="24"/>
        <v>0</v>
      </c>
      <c r="M96" s="132">
        <f>IF(SUM(K$28:K96)&gt;0,MIN(O95*(1+B$9)^(1/12),G$25-G96+K96),0)</f>
        <v>0</v>
      </c>
      <c r="N96" s="132">
        <f t="shared" si="30"/>
        <v>0</v>
      </c>
      <c r="O96" s="133">
        <f t="shared" si="31"/>
        <v>0</v>
      </c>
      <c r="P96" s="103">
        <f>SUM(N$27:N96)</f>
        <v>0</v>
      </c>
      <c r="Q96" s="103">
        <f t="shared" ref="Q96:Q147" si="41">Q95+D96</f>
        <v>0</v>
      </c>
      <c r="R96" s="103">
        <f t="shared" si="35"/>
        <v>0</v>
      </c>
      <c r="S96" s="103">
        <f t="shared" si="36"/>
        <v>0</v>
      </c>
      <c r="T96" s="103">
        <f t="shared" si="37"/>
        <v>0</v>
      </c>
      <c r="U96" s="96" t="s">
        <v>67</v>
      </c>
      <c r="V96" s="96" t="str">
        <f t="shared" si="32"/>
        <v>q</v>
      </c>
      <c r="W96" s="96" t="str">
        <f t="shared" si="38"/>
        <v>-</v>
      </c>
      <c r="X96" s="96" t="str">
        <f t="shared" si="39"/>
        <v>-</v>
      </c>
      <c r="Y96" s="107" t="str">
        <f t="shared" si="33"/>
        <v/>
      </c>
      <c r="Z96" s="71"/>
    </row>
    <row r="97" spans="1:26" x14ac:dyDescent="0.2">
      <c r="A97" s="108">
        <v>70</v>
      </c>
      <c r="B97" s="132">
        <f t="shared" si="22"/>
        <v>0</v>
      </c>
      <c r="C97" s="104">
        <f t="shared" si="40"/>
        <v>0</v>
      </c>
      <c r="D97" s="132">
        <f t="shared" si="25"/>
        <v>0</v>
      </c>
      <c r="E97" s="132">
        <f t="shared" si="26"/>
        <v>0</v>
      </c>
      <c r="F97" s="132">
        <f t="shared" si="27"/>
        <v>0</v>
      </c>
      <c r="G97" s="114">
        <f>IF(SUM(K$27:K96)&gt;0,0,IF(Y97&lt;&gt;"-",$B$3,0))</f>
        <v>0</v>
      </c>
      <c r="H97" s="114">
        <f t="shared" si="28"/>
        <v>0</v>
      </c>
      <c r="I97" s="105">
        <f t="shared" si="34"/>
        <v>0</v>
      </c>
      <c r="J97" s="105">
        <f t="shared" si="29"/>
        <v>0</v>
      </c>
      <c r="K97" s="132">
        <f t="shared" si="23"/>
        <v>0</v>
      </c>
      <c r="L97" s="133">
        <f t="shared" si="24"/>
        <v>0</v>
      </c>
      <c r="M97" s="132">
        <f>IF(SUM(K$28:K97)&gt;0,MIN(O96*(1+B$9)^(1/12),G$25-G97+K97),0)</f>
        <v>0</v>
      </c>
      <c r="N97" s="132">
        <f t="shared" si="30"/>
        <v>0</v>
      </c>
      <c r="O97" s="133">
        <f t="shared" si="31"/>
        <v>0</v>
      </c>
      <c r="P97" s="103">
        <f>SUM(N$27:N97)</f>
        <v>0</v>
      </c>
      <c r="Q97" s="103">
        <f t="shared" si="41"/>
        <v>0</v>
      </c>
      <c r="R97" s="103">
        <f t="shared" si="35"/>
        <v>0</v>
      </c>
      <c r="S97" s="103">
        <f t="shared" si="36"/>
        <v>0</v>
      </c>
      <c r="T97" s="103">
        <f t="shared" si="37"/>
        <v>0</v>
      </c>
      <c r="U97" s="96" t="s">
        <v>67</v>
      </c>
      <c r="V97" s="96" t="str">
        <f t="shared" si="32"/>
        <v>-</v>
      </c>
      <c r="W97" s="96" t="str">
        <f t="shared" si="38"/>
        <v>-</v>
      </c>
      <c r="X97" s="96" t="str">
        <f t="shared" si="39"/>
        <v>-</v>
      </c>
      <c r="Y97" s="107" t="str">
        <f t="shared" si="33"/>
        <v/>
      </c>
      <c r="Z97" s="71"/>
    </row>
    <row r="98" spans="1:26" x14ac:dyDescent="0.2">
      <c r="A98" s="108">
        <v>71</v>
      </c>
      <c r="B98" s="132">
        <f t="shared" si="22"/>
        <v>0</v>
      </c>
      <c r="C98" s="104">
        <f t="shared" si="40"/>
        <v>0</v>
      </c>
      <c r="D98" s="132">
        <f t="shared" si="25"/>
        <v>0</v>
      </c>
      <c r="E98" s="132">
        <f t="shared" si="26"/>
        <v>0</v>
      </c>
      <c r="F98" s="132">
        <f t="shared" si="27"/>
        <v>0</v>
      </c>
      <c r="G98" s="114">
        <f>IF(SUM(K$27:K97)&gt;0,0,IF(Y98&lt;&gt;"-",$B$3,0))</f>
        <v>0</v>
      </c>
      <c r="H98" s="114">
        <f t="shared" si="28"/>
        <v>0</v>
      </c>
      <c r="I98" s="105">
        <f t="shared" si="34"/>
        <v>0</v>
      </c>
      <c r="J98" s="105">
        <f t="shared" si="29"/>
        <v>0</v>
      </c>
      <c r="K98" s="132">
        <f t="shared" si="23"/>
        <v>0</v>
      </c>
      <c r="L98" s="133">
        <f t="shared" si="24"/>
        <v>0</v>
      </c>
      <c r="M98" s="132">
        <f>IF(SUM(K$28:K98)&gt;0,MIN(O97*(1+B$9)^(1/12),G$25-G98+K98),0)</f>
        <v>0</v>
      </c>
      <c r="N98" s="132">
        <f t="shared" si="30"/>
        <v>0</v>
      </c>
      <c r="O98" s="133">
        <f t="shared" si="31"/>
        <v>0</v>
      </c>
      <c r="P98" s="103">
        <f>SUM(N$27:N98)</f>
        <v>0</v>
      </c>
      <c r="Q98" s="103">
        <f t="shared" si="41"/>
        <v>0</v>
      </c>
      <c r="R98" s="103">
        <f t="shared" si="35"/>
        <v>0</v>
      </c>
      <c r="S98" s="103">
        <f t="shared" si="36"/>
        <v>0</v>
      </c>
      <c r="T98" s="103">
        <f t="shared" si="37"/>
        <v>0</v>
      </c>
      <c r="U98" s="96" t="s">
        <v>67</v>
      </c>
      <c r="V98" s="96" t="str">
        <f t="shared" si="32"/>
        <v>-</v>
      </c>
      <c r="W98" s="96" t="str">
        <f t="shared" si="38"/>
        <v>-</v>
      </c>
      <c r="X98" s="96" t="str">
        <f t="shared" si="39"/>
        <v>-</v>
      </c>
      <c r="Y98" s="107" t="str">
        <f t="shared" si="33"/>
        <v/>
      </c>
      <c r="Z98" s="71"/>
    </row>
    <row r="99" spans="1:26" x14ac:dyDescent="0.2">
      <c r="A99" s="110">
        <v>72</v>
      </c>
      <c r="B99" s="111">
        <f t="shared" si="22"/>
        <v>0</v>
      </c>
      <c r="C99" s="111">
        <f t="shared" si="40"/>
        <v>0</v>
      </c>
      <c r="D99" s="111">
        <f t="shared" si="25"/>
        <v>0</v>
      </c>
      <c r="E99" s="111">
        <f t="shared" si="26"/>
        <v>0</v>
      </c>
      <c r="F99" s="111">
        <f t="shared" si="27"/>
        <v>0</v>
      </c>
      <c r="G99" s="112">
        <f>IF(SUM(K$27:K98)&gt;0,0,IF(Y99&lt;&gt;"-",$B$3,0))</f>
        <v>0</v>
      </c>
      <c r="H99" s="112">
        <f t="shared" si="28"/>
        <v>0</v>
      </c>
      <c r="I99" s="112">
        <f t="shared" si="34"/>
        <v>0</v>
      </c>
      <c r="J99" s="112">
        <f t="shared" si="29"/>
        <v>0</v>
      </c>
      <c r="K99" s="111">
        <f t="shared" si="23"/>
        <v>0</v>
      </c>
      <c r="L99" s="113">
        <f t="shared" si="24"/>
        <v>0</v>
      </c>
      <c r="M99" s="111">
        <f>IF(SUM(K$28:K99)&gt;0,MIN(O98*(1+B$9)^(1/12),G$25-G99+K99),0)</f>
        <v>0</v>
      </c>
      <c r="N99" s="111">
        <f t="shared" si="30"/>
        <v>0</v>
      </c>
      <c r="O99" s="113">
        <f t="shared" si="31"/>
        <v>0</v>
      </c>
      <c r="P99" s="111">
        <f>SUM(N$27:N99)</f>
        <v>0</v>
      </c>
      <c r="Q99" s="111">
        <f t="shared" si="41"/>
        <v>0</v>
      </c>
      <c r="R99" s="111">
        <f t="shared" si="35"/>
        <v>0</v>
      </c>
      <c r="S99" s="111">
        <f t="shared" si="36"/>
        <v>0</v>
      </c>
      <c r="T99" s="111">
        <f t="shared" si="37"/>
        <v>0</v>
      </c>
      <c r="U99" s="101" t="s">
        <v>67</v>
      </c>
      <c r="V99" s="101" t="str">
        <f t="shared" si="32"/>
        <v>q</v>
      </c>
      <c r="W99" s="101" t="str">
        <f t="shared" si="38"/>
        <v>s</v>
      </c>
      <c r="X99" s="101" t="str">
        <f t="shared" si="39"/>
        <v>a</v>
      </c>
      <c r="Y99" s="107" t="str">
        <f t="shared" si="33"/>
        <v/>
      </c>
      <c r="Z99" s="71"/>
    </row>
    <row r="100" spans="1:26" x14ac:dyDescent="0.2">
      <c r="A100" s="108">
        <v>73</v>
      </c>
      <c r="B100" s="132">
        <f t="shared" si="22"/>
        <v>0</v>
      </c>
      <c r="C100" s="104">
        <f t="shared" si="40"/>
        <v>0</v>
      </c>
      <c r="D100" s="132">
        <f t="shared" si="25"/>
        <v>0</v>
      </c>
      <c r="E100" s="132">
        <f t="shared" si="26"/>
        <v>0</v>
      </c>
      <c r="F100" s="132">
        <f t="shared" si="27"/>
        <v>0</v>
      </c>
      <c r="G100" s="114">
        <f>IF(SUM(K$27:K99)&gt;0,0,IF(Y100&lt;&gt;"-",$B$3,0))</f>
        <v>0</v>
      </c>
      <c r="H100" s="114">
        <f t="shared" si="28"/>
        <v>0</v>
      </c>
      <c r="I100" s="105">
        <f t="shared" si="34"/>
        <v>0</v>
      </c>
      <c r="J100" s="105">
        <f t="shared" si="29"/>
        <v>0</v>
      </c>
      <c r="K100" s="132">
        <f t="shared" si="23"/>
        <v>0</v>
      </c>
      <c r="L100" s="133">
        <f t="shared" si="24"/>
        <v>0</v>
      </c>
      <c r="M100" s="132">
        <f>IF(SUM(K$28:K100)&gt;0,MIN(O99*(1+B$9)^(1/12),G$25-G100+K100),0)</f>
        <v>0</v>
      </c>
      <c r="N100" s="132">
        <f t="shared" si="30"/>
        <v>0</v>
      </c>
      <c r="O100" s="133">
        <f t="shared" si="31"/>
        <v>0</v>
      </c>
      <c r="P100" s="103">
        <f>SUM(N$27:N100)</f>
        <v>0</v>
      </c>
      <c r="Q100" s="103">
        <f t="shared" si="41"/>
        <v>0</v>
      </c>
      <c r="R100" s="103">
        <f t="shared" si="35"/>
        <v>0</v>
      </c>
      <c r="S100" s="103">
        <f t="shared" si="36"/>
        <v>0</v>
      </c>
      <c r="T100" s="103">
        <f t="shared" si="37"/>
        <v>0</v>
      </c>
      <c r="U100" s="96" t="s">
        <v>67</v>
      </c>
      <c r="V100" s="96" t="str">
        <f t="shared" si="32"/>
        <v>-</v>
      </c>
      <c r="W100" s="96" t="str">
        <f t="shared" si="38"/>
        <v>-</v>
      </c>
      <c r="X100" s="96" t="str">
        <f t="shared" si="39"/>
        <v>-</v>
      </c>
      <c r="Y100" s="107" t="str">
        <f t="shared" si="33"/>
        <v/>
      </c>
      <c r="Z100" s="71"/>
    </row>
    <row r="101" spans="1:26" x14ac:dyDescent="0.2">
      <c r="A101" s="108">
        <v>74</v>
      </c>
      <c r="B101" s="132">
        <f t="shared" si="22"/>
        <v>0</v>
      </c>
      <c r="C101" s="104">
        <f t="shared" si="40"/>
        <v>0</v>
      </c>
      <c r="D101" s="132">
        <f t="shared" si="25"/>
        <v>0</v>
      </c>
      <c r="E101" s="132">
        <f t="shared" si="26"/>
        <v>0</v>
      </c>
      <c r="F101" s="132">
        <f t="shared" si="27"/>
        <v>0</v>
      </c>
      <c r="G101" s="114">
        <f>IF(SUM(K$27:K100)&gt;0,0,IF(Y101&lt;&gt;"-",$B$3,0))</f>
        <v>0</v>
      </c>
      <c r="H101" s="114">
        <f t="shared" si="28"/>
        <v>0</v>
      </c>
      <c r="I101" s="105">
        <f t="shared" si="34"/>
        <v>0</v>
      </c>
      <c r="J101" s="105">
        <f t="shared" si="29"/>
        <v>0</v>
      </c>
      <c r="K101" s="132">
        <f t="shared" si="23"/>
        <v>0</v>
      </c>
      <c r="L101" s="133">
        <f t="shared" si="24"/>
        <v>0</v>
      </c>
      <c r="M101" s="132">
        <f>IF(SUM(K$28:K101)&gt;0,MIN(O100*(1+B$9)^(1/12),G$25-G101+K101),0)</f>
        <v>0</v>
      </c>
      <c r="N101" s="132">
        <f t="shared" si="30"/>
        <v>0</v>
      </c>
      <c r="O101" s="133">
        <f t="shared" si="31"/>
        <v>0</v>
      </c>
      <c r="P101" s="103">
        <f>SUM(N$27:N101)</f>
        <v>0</v>
      </c>
      <c r="Q101" s="103">
        <f t="shared" si="41"/>
        <v>0</v>
      </c>
      <c r="R101" s="103">
        <f t="shared" si="35"/>
        <v>0</v>
      </c>
      <c r="S101" s="103">
        <f t="shared" si="36"/>
        <v>0</v>
      </c>
      <c r="T101" s="103">
        <f t="shared" si="37"/>
        <v>0</v>
      </c>
      <c r="U101" s="96" t="s">
        <v>67</v>
      </c>
      <c r="V101" s="96" t="str">
        <f t="shared" si="32"/>
        <v>-</v>
      </c>
      <c r="W101" s="96" t="str">
        <f t="shared" si="38"/>
        <v>-</v>
      </c>
      <c r="X101" s="96" t="str">
        <f t="shared" si="39"/>
        <v>-</v>
      </c>
      <c r="Y101" s="107" t="str">
        <f t="shared" si="33"/>
        <v/>
      </c>
      <c r="Z101" s="71"/>
    </row>
    <row r="102" spans="1:26" x14ac:dyDescent="0.2">
      <c r="A102" s="108">
        <v>75</v>
      </c>
      <c r="B102" s="132">
        <f t="shared" si="22"/>
        <v>0</v>
      </c>
      <c r="C102" s="104">
        <f t="shared" si="40"/>
        <v>0</v>
      </c>
      <c r="D102" s="132">
        <f t="shared" si="25"/>
        <v>0</v>
      </c>
      <c r="E102" s="132">
        <f t="shared" si="26"/>
        <v>0</v>
      </c>
      <c r="F102" s="132">
        <f t="shared" si="27"/>
        <v>0</v>
      </c>
      <c r="G102" s="114">
        <f>IF(SUM(K$27:K101)&gt;0,0,IF(Y102&lt;&gt;"-",$B$3,0))</f>
        <v>0</v>
      </c>
      <c r="H102" s="114">
        <f t="shared" si="28"/>
        <v>0</v>
      </c>
      <c r="I102" s="105">
        <f t="shared" si="34"/>
        <v>0</v>
      </c>
      <c r="J102" s="105">
        <f t="shared" si="29"/>
        <v>0</v>
      </c>
      <c r="K102" s="132">
        <f t="shared" si="23"/>
        <v>0</v>
      </c>
      <c r="L102" s="133">
        <f t="shared" si="24"/>
        <v>0</v>
      </c>
      <c r="M102" s="132">
        <f>IF(SUM(K$28:K102)&gt;0,MIN(O101*(1+B$9)^(1/12),G$25-G102+K102),0)</f>
        <v>0</v>
      </c>
      <c r="N102" s="132">
        <f t="shared" si="30"/>
        <v>0</v>
      </c>
      <c r="O102" s="133">
        <f t="shared" si="31"/>
        <v>0</v>
      </c>
      <c r="P102" s="103">
        <f>SUM(N$27:N102)</f>
        <v>0</v>
      </c>
      <c r="Q102" s="103">
        <f t="shared" si="41"/>
        <v>0</v>
      </c>
      <c r="R102" s="103">
        <f t="shared" si="35"/>
        <v>0</v>
      </c>
      <c r="S102" s="103">
        <f t="shared" si="36"/>
        <v>0</v>
      </c>
      <c r="T102" s="103">
        <f t="shared" si="37"/>
        <v>0</v>
      </c>
      <c r="U102" s="96" t="s">
        <v>67</v>
      </c>
      <c r="V102" s="96" t="str">
        <f t="shared" si="32"/>
        <v>q</v>
      </c>
      <c r="W102" s="96" t="str">
        <f t="shared" si="38"/>
        <v>-</v>
      </c>
      <c r="X102" s="96" t="str">
        <f t="shared" si="39"/>
        <v>-</v>
      </c>
      <c r="Y102" s="107" t="str">
        <f t="shared" si="33"/>
        <v/>
      </c>
      <c r="Z102" s="71"/>
    </row>
    <row r="103" spans="1:26" x14ac:dyDescent="0.2">
      <c r="A103" s="108">
        <v>76</v>
      </c>
      <c r="B103" s="132">
        <f t="shared" si="22"/>
        <v>0</v>
      </c>
      <c r="C103" s="104">
        <f t="shared" si="40"/>
        <v>0</v>
      </c>
      <c r="D103" s="132">
        <f t="shared" si="25"/>
        <v>0</v>
      </c>
      <c r="E103" s="132">
        <f t="shared" si="26"/>
        <v>0</v>
      </c>
      <c r="F103" s="132">
        <f t="shared" si="27"/>
        <v>0</v>
      </c>
      <c r="G103" s="114">
        <f>IF(SUM(K$27:K102)&gt;0,0,IF(Y103&lt;&gt;"-",$B$3,0))</f>
        <v>0</v>
      </c>
      <c r="H103" s="114">
        <f t="shared" si="28"/>
        <v>0</v>
      </c>
      <c r="I103" s="105">
        <f t="shared" si="34"/>
        <v>0</v>
      </c>
      <c r="J103" s="105">
        <f t="shared" si="29"/>
        <v>0</v>
      </c>
      <c r="K103" s="132">
        <f t="shared" si="23"/>
        <v>0</v>
      </c>
      <c r="L103" s="133">
        <f t="shared" si="24"/>
        <v>0</v>
      </c>
      <c r="M103" s="132">
        <f>IF(SUM(K$28:K103)&gt;0,MIN(O102*(1+B$9)^(1/12),G$25-G103+K103),0)</f>
        <v>0</v>
      </c>
      <c r="N103" s="132">
        <f t="shared" si="30"/>
        <v>0</v>
      </c>
      <c r="O103" s="133">
        <f t="shared" si="31"/>
        <v>0</v>
      </c>
      <c r="P103" s="103">
        <f>SUM(N$27:N103)</f>
        <v>0</v>
      </c>
      <c r="Q103" s="103">
        <f t="shared" si="41"/>
        <v>0</v>
      </c>
      <c r="R103" s="103">
        <f t="shared" si="35"/>
        <v>0</v>
      </c>
      <c r="S103" s="103">
        <f t="shared" si="36"/>
        <v>0</v>
      </c>
      <c r="T103" s="103">
        <f t="shared" si="37"/>
        <v>0</v>
      </c>
      <c r="U103" s="96" t="s">
        <v>67</v>
      </c>
      <c r="V103" s="96" t="str">
        <f t="shared" si="32"/>
        <v>-</v>
      </c>
      <c r="W103" s="96" t="str">
        <f t="shared" si="38"/>
        <v>-</v>
      </c>
      <c r="X103" s="96" t="str">
        <f t="shared" si="39"/>
        <v>-</v>
      </c>
      <c r="Y103" s="107" t="str">
        <f t="shared" si="33"/>
        <v/>
      </c>
      <c r="Z103" s="71"/>
    </row>
    <row r="104" spans="1:26" x14ac:dyDescent="0.2">
      <c r="A104" s="108">
        <v>77</v>
      </c>
      <c r="B104" s="132">
        <f t="shared" si="22"/>
        <v>0</v>
      </c>
      <c r="C104" s="104">
        <f t="shared" si="40"/>
        <v>0</v>
      </c>
      <c r="D104" s="132">
        <f t="shared" si="25"/>
        <v>0</v>
      </c>
      <c r="E104" s="132">
        <f t="shared" si="26"/>
        <v>0</v>
      </c>
      <c r="F104" s="132">
        <f t="shared" si="27"/>
        <v>0</v>
      </c>
      <c r="G104" s="114">
        <f>IF(SUM(K$27:K103)&gt;0,0,IF(Y104&lt;&gt;"-",$B$3,0))</f>
        <v>0</v>
      </c>
      <c r="H104" s="114">
        <f t="shared" si="28"/>
        <v>0</v>
      </c>
      <c r="I104" s="105">
        <f t="shared" si="34"/>
        <v>0</v>
      </c>
      <c r="J104" s="105">
        <f t="shared" si="29"/>
        <v>0</v>
      </c>
      <c r="K104" s="132">
        <f t="shared" si="23"/>
        <v>0</v>
      </c>
      <c r="L104" s="133">
        <f t="shared" si="24"/>
        <v>0</v>
      </c>
      <c r="M104" s="132">
        <f>IF(SUM(K$28:K104)&gt;0,MIN(O103*(1+B$9)^(1/12),G$25-G104+K104),0)</f>
        <v>0</v>
      </c>
      <c r="N104" s="132">
        <f t="shared" si="30"/>
        <v>0</v>
      </c>
      <c r="O104" s="133">
        <f t="shared" si="31"/>
        <v>0</v>
      </c>
      <c r="P104" s="103">
        <f>SUM(N$27:N104)</f>
        <v>0</v>
      </c>
      <c r="Q104" s="103">
        <f t="shared" si="41"/>
        <v>0</v>
      </c>
      <c r="R104" s="103">
        <f t="shared" si="35"/>
        <v>0</v>
      </c>
      <c r="S104" s="103">
        <f t="shared" si="36"/>
        <v>0</v>
      </c>
      <c r="T104" s="103">
        <f t="shared" si="37"/>
        <v>0</v>
      </c>
      <c r="U104" s="96" t="s">
        <v>67</v>
      </c>
      <c r="V104" s="96" t="str">
        <f t="shared" si="32"/>
        <v>-</v>
      </c>
      <c r="W104" s="96" t="str">
        <f t="shared" si="38"/>
        <v>-</v>
      </c>
      <c r="X104" s="96" t="str">
        <f t="shared" si="39"/>
        <v>-</v>
      </c>
      <c r="Y104" s="107" t="str">
        <f t="shared" si="33"/>
        <v/>
      </c>
      <c r="Z104" s="71"/>
    </row>
    <row r="105" spans="1:26" x14ac:dyDescent="0.2">
      <c r="A105" s="108">
        <v>78</v>
      </c>
      <c r="B105" s="132">
        <f t="shared" si="22"/>
        <v>0</v>
      </c>
      <c r="C105" s="104">
        <f t="shared" si="40"/>
        <v>0</v>
      </c>
      <c r="D105" s="132">
        <f t="shared" si="25"/>
        <v>0</v>
      </c>
      <c r="E105" s="132">
        <f t="shared" si="26"/>
        <v>0</v>
      </c>
      <c r="F105" s="132">
        <f t="shared" si="27"/>
        <v>0</v>
      </c>
      <c r="G105" s="114">
        <f>IF(SUM(K$27:K104)&gt;0,0,IF(Y105&lt;&gt;"-",$B$3,0))</f>
        <v>0</v>
      </c>
      <c r="H105" s="114">
        <f t="shared" si="28"/>
        <v>0</v>
      </c>
      <c r="I105" s="105">
        <f t="shared" si="34"/>
        <v>0</v>
      </c>
      <c r="J105" s="105">
        <f t="shared" si="29"/>
        <v>0</v>
      </c>
      <c r="K105" s="132">
        <f t="shared" si="23"/>
        <v>0</v>
      </c>
      <c r="L105" s="133">
        <f t="shared" si="24"/>
        <v>0</v>
      </c>
      <c r="M105" s="132">
        <f>IF(SUM(K$28:K105)&gt;0,MIN(O104*(1+B$9)^(1/12),G$25-G105+K105),0)</f>
        <v>0</v>
      </c>
      <c r="N105" s="132">
        <f t="shared" si="30"/>
        <v>0</v>
      </c>
      <c r="O105" s="133">
        <f t="shared" si="31"/>
        <v>0</v>
      </c>
      <c r="P105" s="103">
        <f>SUM(N$27:N105)</f>
        <v>0</v>
      </c>
      <c r="Q105" s="103">
        <f t="shared" si="41"/>
        <v>0</v>
      </c>
      <c r="R105" s="103">
        <f t="shared" si="35"/>
        <v>0</v>
      </c>
      <c r="S105" s="103">
        <f t="shared" si="36"/>
        <v>0</v>
      </c>
      <c r="T105" s="103">
        <f t="shared" si="37"/>
        <v>0</v>
      </c>
      <c r="U105" s="96" t="s">
        <v>67</v>
      </c>
      <c r="V105" s="96" t="str">
        <f t="shared" si="32"/>
        <v>q</v>
      </c>
      <c r="W105" s="96" t="str">
        <f t="shared" si="38"/>
        <v>s</v>
      </c>
      <c r="X105" s="96" t="str">
        <f t="shared" si="39"/>
        <v>-</v>
      </c>
      <c r="Y105" s="107" t="str">
        <f t="shared" si="33"/>
        <v/>
      </c>
      <c r="Z105" s="71"/>
    </row>
    <row r="106" spans="1:26" x14ac:dyDescent="0.2">
      <c r="A106" s="108">
        <v>79</v>
      </c>
      <c r="B106" s="132">
        <f t="shared" si="22"/>
        <v>0</v>
      </c>
      <c r="C106" s="104">
        <f t="shared" si="40"/>
        <v>0</v>
      </c>
      <c r="D106" s="132">
        <f t="shared" si="25"/>
        <v>0</v>
      </c>
      <c r="E106" s="132">
        <f t="shared" si="26"/>
        <v>0</v>
      </c>
      <c r="F106" s="132">
        <f t="shared" si="27"/>
        <v>0</v>
      </c>
      <c r="G106" s="114">
        <f>IF(SUM(K$27:K105)&gt;0,0,IF(Y106&lt;&gt;"-",$B$3,0))</f>
        <v>0</v>
      </c>
      <c r="H106" s="114">
        <f t="shared" si="28"/>
        <v>0</v>
      </c>
      <c r="I106" s="105">
        <f t="shared" si="34"/>
        <v>0</v>
      </c>
      <c r="J106" s="105">
        <f t="shared" si="29"/>
        <v>0</v>
      </c>
      <c r="K106" s="132">
        <f t="shared" si="23"/>
        <v>0</v>
      </c>
      <c r="L106" s="133">
        <f t="shared" si="24"/>
        <v>0</v>
      </c>
      <c r="M106" s="132">
        <f>IF(SUM(K$28:K106)&gt;0,MIN(O105*(1+B$9)^(1/12),G$25-G106+K106),0)</f>
        <v>0</v>
      </c>
      <c r="N106" s="132">
        <f t="shared" si="30"/>
        <v>0</v>
      </c>
      <c r="O106" s="133">
        <f t="shared" si="31"/>
        <v>0</v>
      </c>
      <c r="P106" s="103">
        <f>SUM(N$27:N106)</f>
        <v>0</v>
      </c>
      <c r="Q106" s="103">
        <f t="shared" si="41"/>
        <v>0</v>
      </c>
      <c r="R106" s="103">
        <f t="shared" si="35"/>
        <v>0</v>
      </c>
      <c r="S106" s="103">
        <f t="shared" si="36"/>
        <v>0</v>
      </c>
      <c r="T106" s="103">
        <f t="shared" si="37"/>
        <v>0</v>
      </c>
      <c r="U106" s="96" t="s">
        <v>67</v>
      </c>
      <c r="V106" s="96" t="str">
        <f t="shared" si="32"/>
        <v>-</v>
      </c>
      <c r="W106" s="96" t="str">
        <f t="shared" si="38"/>
        <v>-</v>
      </c>
      <c r="X106" s="96" t="str">
        <f t="shared" si="39"/>
        <v>-</v>
      </c>
      <c r="Y106" s="107" t="str">
        <f t="shared" si="33"/>
        <v/>
      </c>
      <c r="Z106" s="71"/>
    </row>
    <row r="107" spans="1:26" x14ac:dyDescent="0.2">
      <c r="A107" s="108">
        <v>80</v>
      </c>
      <c r="B107" s="132">
        <f t="shared" si="22"/>
        <v>0</v>
      </c>
      <c r="C107" s="104">
        <f t="shared" si="40"/>
        <v>0</v>
      </c>
      <c r="D107" s="132">
        <f t="shared" si="25"/>
        <v>0</v>
      </c>
      <c r="E107" s="132">
        <f t="shared" si="26"/>
        <v>0</v>
      </c>
      <c r="F107" s="132">
        <f t="shared" si="27"/>
        <v>0</v>
      </c>
      <c r="G107" s="114">
        <f>IF(SUM(K$27:K106)&gt;0,0,IF(Y107&lt;&gt;"-",$B$3,0))</f>
        <v>0</v>
      </c>
      <c r="H107" s="114">
        <f t="shared" si="28"/>
        <v>0</v>
      </c>
      <c r="I107" s="105">
        <f t="shared" si="34"/>
        <v>0</v>
      </c>
      <c r="J107" s="105">
        <f t="shared" si="29"/>
        <v>0</v>
      </c>
      <c r="K107" s="132">
        <f t="shared" si="23"/>
        <v>0</v>
      </c>
      <c r="L107" s="133">
        <f t="shared" si="24"/>
        <v>0</v>
      </c>
      <c r="M107" s="132">
        <f>IF(SUM(K$28:K107)&gt;0,MIN(O106*(1+B$9)^(1/12),G$25-G107+K107),0)</f>
        <v>0</v>
      </c>
      <c r="N107" s="132">
        <f t="shared" si="30"/>
        <v>0</v>
      </c>
      <c r="O107" s="133">
        <f t="shared" si="31"/>
        <v>0</v>
      </c>
      <c r="P107" s="103">
        <f>SUM(N$27:N107)</f>
        <v>0</v>
      </c>
      <c r="Q107" s="103">
        <f t="shared" si="41"/>
        <v>0</v>
      </c>
      <c r="R107" s="103">
        <f t="shared" si="35"/>
        <v>0</v>
      </c>
      <c r="S107" s="103">
        <f t="shared" si="36"/>
        <v>0</v>
      </c>
      <c r="T107" s="103">
        <f t="shared" si="37"/>
        <v>0</v>
      </c>
      <c r="U107" s="96" t="s">
        <v>67</v>
      </c>
      <c r="V107" s="96" t="str">
        <f t="shared" si="32"/>
        <v>-</v>
      </c>
      <c r="W107" s="96" t="str">
        <f t="shared" si="38"/>
        <v>-</v>
      </c>
      <c r="X107" s="96" t="str">
        <f t="shared" si="39"/>
        <v>-</v>
      </c>
      <c r="Y107" s="107" t="str">
        <f t="shared" si="33"/>
        <v/>
      </c>
      <c r="Z107" s="71"/>
    </row>
    <row r="108" spans="1:26" x14ac:dyDescent="0.2">
      <c r="A108" s="108">
        <v>81</v>
      </c>
      <c r="B108" s="132">
        <f t="shared" si="22"/>
        <v>0</v>
      </c>
      <c r="C108" s="104">
        <f t="shared" si="40"/>
        <v>0</v>
      </c>
      <c r="D108" s="132">
        <f t="shared" si="25"/>
        <v>0</v>
      </c>
      <c r="E108" s="132">
        <f t="shared" si="26"/>
        <v>0</v>
      </c>
      <c r="F108" s="132">
        <f t="shared" si="27"/>
        <v>0</v>
      </c>
      <c r="G108" s="114">
        <f>IF(SUM(K$27:K107)&gt;0,0,IF(Y108&lt;&gt;"-",$B$3,0))</f>
        <v>0</v>
      </c>
      <c r="H108" s="114">
        <f t="shared" si="28"/>
        <v>0</v>
      </c>
      <c r="I108" s="105">
        <f t="shared" si="34"/>
        <v>0</v>
      </c>
      <c r="J108" s="105">
        <f t="shared" si="29"/>
        <v>0</v>
      </c>
      <c r="K108" s="132">
        <f t="shared" si="23"/>
        <v>0</v>
      </c>
      <c r="L108" s="133">
        <f t="shared" si="24"/>
        <v>0</v>
      </c>
      <c r="M108" s="132">
        <f>IF(SUM(K$28:K108)&gt;0,MIN(O107*(1+B$9)^(1/12),G$25-G108+K108),0)</f>
        <v>0</v>
      </c>
      <c r="N108" s="132">
        <f t="shared" si="30"/>
        <v>0</v>
      </c>
      <c r="O108" s="133">
        <f t="shared" si="31"/>
        <v>0</v>
      </c>
      <c r="P108" s="103">
        <f>SUM(N$27:N108)</f>
        <v>0</v>
      </c>
      <c r="Q108" s="103">
        <f t="shared" si="41"/>
        <v>0</v>
      </c>
      <c r="R108" s="103">
        <f t="shared" si="35"/>
        <v>0</v>
      </c>
      <c r="S108" s="103">
        <f t="shared" si="36"/>
        <v>0</v>
      </c>
      <c r="T108" s="103">
        <f t="shared" si="37"/>
        <v>0</v>
      </c>
      <c r="U108" s="96" t="s">
        <v>67</v>
      </c>
      <c r="V108" s="96" t="str">
        <f t="shared" si="32"/>
        <v>q</v>
      </c>
      <c r="W108" s="96" t="str">
        <f t="shared" si="38"/>
        <v>-</v>
      </c>
      <c r="X108" s="96" t="str">
        <f t="shared" si="39"/>
        <v>-</v>
      </c>
      <c r="Y108" s="107" t="str">
        <f t="shared" si="33"/>
        <v/>
      </c>
      <c r="Z108" s="71"/>
    </row>
    <row r="109" spans="1:26" x14ac:dyDescent="0.2">
      <c r="A109" s="108">
        <v>82</v>
      </c>
      <c r="B109" s="132">
        <f t="shared" si="22"/>
        <v>0</v>
      </c>
      <c r="C109" s="104">
        <f t="shared" si="40"/>
        <v>0</v>
      </c>
      <c r="D109" s="132">
        <f t="shared" si="25"/>
        <v>0</v>
      </c>
      <c r="E109" s="132">
        <f t="shared" si="26"/>
        <v>0</v>
      </c>
      <c r="F109" s="132">
        <f t="shared" si="27"/>
        <v>0</v>
      </c>
      <c r="G109" s="114">
        <f>IF(SUM(K$27:K108)&gt;0,0,IF(Y109&lt;&gt;"-",$B$3,0))</f>
        <v>0</v>
      </c>
      <c r="H109" s="114">
        <f t="shared" si="28"/>
        <v>0</v>
      </c>
      <c r="I109" s="105">
        <f t="shared" si="34"/>
        <v>0</v>
      </c>
      <c r="J109" s="105">
        <f t="shared" si="29"/>
        <v>0</v>
      </c>
      <c r="K109" s="132">
        <f t="shared" si="23"/>
        <v>0</v>
      </c>
      <c r="L109" s="133">
        <f t="shared" si="24"/>
        <v>0</v>
      </c>
      <c r="M109" s="132">
        <f>IF(SUM(K$28:K109)&gt;0,MIN(O108*(1+B$9)^(1/12),G$25-G109+K109),0)</f>
        <v>0</v>
      </c>
      <c r="N109" s="132">
        <f t="shared" si="30"/>
        <v>0</v>
      </c>
      <c r="O109" s="133">
        <f t="shared" si="31"/>
        <v>0</v>
      </c>
      <c r="P109" s="103">
        <f>SUM(N$27:N109)</f>
        <v>0</v>
      </c>
      <c r="Q109" s="103">
        <f t="shared" si="41"/>
        <v>0</v>
      </c>
      <c r="R109" s="103">
        <f t="shared" si="35"/>
        <v>0</v>
      </c>
      <c r="S109" s="103">
        <f t="shared" si="36"/>
        <v>0</v>
      </c>
      <c r="T109" s="103">
        <f t="shared" si="37"/>
        <v>0</v>
      </c>
      <c r="U109" s="96" t="s">
        <v>67</v>
      </c>
      <c r="V109" s="96" t="str">
        <f t="shared" si="32"/>
        <v>-</v>
      </c>
      <c r="W109" s="96" t="str">
        <f t="shared" si="38"/>
        <v>-</v>
      </c>
      <c r="X109" s="96" t="str">
        <f t="shared" si="39"/>
        <v>-</v>
      </c>
      <c r="Y109" s="107" t="str">
        <f t="shared" si="33"/>
        <v/>
      </c>
      <c r="Z109" s="71"/>
    </row>
    <row r="110" spans="1:26" x14ac:dyDescent="0.2">
      <c r="A110" s="108">
        <v>83</v>
      </c>
      <c r="B110" s="132">
        <f t="shared" si="22"/>
        <v>0</v>
      </c>
      <c r="C110" s="104">
        <f t="shared" si="40"/>
        <v>0</v>
      </c>
      <c r="D110" s="132">
        <f t="shared" si="25"/>
        <v>0</v>
      </c>
      <c r="E110" s="132">
        <f t="shared" si="26"/>
        <v>0</v>
      </c>
      <c r="F110" s="132">
        <f t="shared" si="27"/>
        <v>0</v>
      </c>
      <c r="G110" s="114">
        <f>IF(SUM(K$27:K109)&gt;0,0,IF(Y110&lt;&gt;"-",$B$3,0))</f>
        <v>0</v>
      </c>
      <c r="H110" s="114">
        <f t="shared" si="28"/>
        <v>0</v>
      </c>
      <c r="I110" s="105">
        <f t="shared" si="34"/>
        <v>0</v>
      </c>
      <c r="J110" s="105">
        <f t="shared" si="29"/>
        <v>0</v>
      </c>
      <c r="K110" s="132">
        <f t="shared" si="23"/>
        <v>0</v>
      </c>
      <c r="L110" s="133">
        <f t="shared" si="24"/>
        <v>0</v>
      </c>
      <c r="M110" s="132">
        <f>IF(SUM(K$28:K110)&gt;0,MIN(O109*(1+B$9)^(1/12),G$25-G110+K110),0)</f>
        <v>0</v>
      </c>
      <c r="N110" s="132">
        <f t="shared" si="30"/>
        <v>0</v>
      </c>
      <c r="O110" s="133">
        <f t="shared" si="31"/>
        <v>0</v>
      </c>
      <c r="P110" s="103">
        <f>SUM(N$27:N110)</f>
        <v>0</v>
      </c>
      <c r="Q110" s="103">
        <f t="shared" si="41"/>
        <v>0</v>
      </c>
      <c r="R110" s="103">
        <f t="shared" si="35"/>
        <v>0</v>
      </c>
      <c r="S110" s="103">
        <f t="shared" si="36"/>
        <v>0</v>
      </c>
      <c r="T110" s="103">
        <f t="shared" si="37"/>
        <v>0</v>
      </c>
      <c r="U110" s="96" t="s">
        <v>67</v>
      </c>
      <c r="V110" s="96" t="str">
        <f t="shared" si="32"/>
        <v>-</v>
      </c>
      <c r="W110" s="96" t="str">
        <f t="shared" si="38"/>
        <v>-</v>
      </c>
      <c r="X110" s="96" t="str">
        <f t="shared" si="39"/>
        <v>-</v>
      </c>
      <c r="Y110" s="107" t="str">
        <f t="shared" si="33"/>
        <v/>
      </c>
      <c r="Z110" s="71"/>
    </row>
    <row r="111" spans="1:26" x14ac:dyDescent="0.2">
      <c r="A111" s="110">
        <v>84</v>
      </c>
      <c r="B111" s="111">
        <f t="shared" si="22"/>
        <v>0</v>
      </c>
      <c r="C111" s="111">
        <f t="shared" si="40"/>
        <v>0</v>
      </c>
      <c r="D111" s="111">
        <f t="shared" si="25"/>
        <v>0</v>
      </c>
      <c r="E111" s="111">
        <f t="shared" si="26"/>
        <v>0</v>
      </c>
      <c r="F111" s="111">
        <f t="shared" si="27"/>
        <v>0</v>
      </c>
      <c r="G111" s="112">
        <f>IF(SUM(K$27:K110)&gt;0,0,IF(Y111&lt;&gt;"-",$B$3,0))</f>
        <v>0</v>
      </c>
      <c r="H111" s="112">
        <f t="shared" si="28"/>
        <v>0</v>
      </c>
      <c r="I111" s="112">
        <f t="shared" si="34"/>
        <v>0</v>
      </c>
      <c r="J111" s="112">
        <f t="shared" si="29"/>
        <v>0</v>
      </c>
      <c r="K111" s="111">
        <f t="shared" si="23"/>
        <v>0</v>
      </c>
      <c r="L111" s="113">
        <f t="shared" si="24"/>
        <v>0</v>
      </c>
      <c r="M111" s="111">
        <f>IF(SUM(K$28:K111)&gt;0,MIN(O110*(1+B$9)^(1/12),G$25-G111+K111),0)</f>
        <v>0</v>
      </c>
      <c r="N111" s="111">
        <f t="shared" si="30"/>
        <v>0</v>
      </c>
      <c r="O111" s="113">
        <f t="shared" si="31"/>
        <v>0</v>
      </c>
      <c r="P111" s="111">
        <f>SUM(N$27:N111)</f>
        <v>0</v>
      </c>
      <c r="Q111" s="111">
        <f t="shared" si="41"/>
        <v>0</v>
      </c>
      <c r="R111" s="111">
        <f t="shared" si="35"/>
        <v>0</v>
      </c>
      <c r="S111" s="111">
        <f t="shared" si="36"/>
        <v>0</v>
      </c>
      <c r="T111" s="111">
        <f t="shared" si="37"/>
        <v>0</v>
      </c>
      <c r="U111" s="101" t="s">
        <v>67</v>
      </c>
      <c r="V111" s="101" t="str">
        <f t="shared" si="32"/>
        <v>q</v>
      </c>
      <c r="W111" s="101" t="str">
        <f t="shared" si="38"/>
        <v>s</v>
      </c>
      <c r="X111" s="101" t="str">
        <f t="shared" si="39"/>
        <v>a</v>
      </c>
      <c r="Y111" s="107" t="str">
        <f t="shared" si="33"/>
        <v/>
      </c>
      <c r="Z111" s="71"/>
    </row>
    <row r="112" spans="1:26" x14ac:dyDescent="0.2">
      <c r="A112" s="108">
        <v>85</v>
      </c>
      <c r="B112" s="132">
        <f t="shared" si="22"/>
        <v>0</v>
      </c>
      <c r="C112" s="104">
        <f t="shared" si="40"/>
        <v>0</v>
      </c>
      <c r="D112" s="132">
        <f t="shared" si="25"/>
        <v>0</v>
      </c>
      <c r="E112" s="132">
        <f t="shared" si="26"/>
        <v>0</v>
      </c>
      <c r="F112" s="132">
        <f t="shared" si="27"/>
        <v>0</v>
      </c>
      <c r="G112" s="114">
        <f>IF(SUM(K$27:K111)&gt;0,0,IF(Y112&lt;&gt;"-",$B$3,0))</f>
        <v>0</v>
      </c>
      <c r="H112" s="114">
        <f t="shared" si="28"/>
        <v>0</v>
      </c>
      <c r="I112" s="105">
        <f t="shared" si="34"/>
        <v>0</v>
      </c>
      <c r="J112" s="105">
        <f t="shared" si="29"/>
        <v>0</v>
      </c>
      <c r="K112" s="132">
        <f t="shared" si="23"/>
        <v>0</v>
      </c>
      <c r="L112" s="133">
        <f t="shared" si="24"/>
        <v>0</v>
      </c>
      <c r="M112" s="132">
        <f>IF(SUM(K$28:K112)&gt;0,MIN(O111*(1+B$9)^(1/12),G$25-G112+K112),0)</f>
        <v>0</v>
      </c>
      <c r="N112" s="132">
        <f t="shared" si="30"/>
        <v>0</v>
      </c>
      <c r="O112" s="133">
        <f t="shared" si="31"/>
        <v>0</v>
      </c>
      <c r="P112" s="103">
        <f>SUM(N$27:N112)</f>
        <v>0</v>
      </c>
      <c r="Q112" s="103">
        <f t="shared" si="41"/>
        <v>0</v>
      </c>
      <c r="R112" s="103">
        <f t="shared" si="35"/>
        <v>0</v>
      </c>
      <c r="S112" s="103">
        <f t="shared" si="36"/>
        <v>0</v>
      </c>
      <c r="T112" s="103">
        <f t="shared" si="37"/>
        <v>0</v>
      </c>
      <c r="U112" s="96" t="s">
        <v>67</v>
      </c>
      <c r="V112" s="96" t="str">
        <f t="shared" si="32"/>
        <v>-</v>
      </c>
      <c r="W112" s="96" t="str">
        <f t="shared" si="38"/>
        <v>-</v>
      </c>
      <c r="X112" s="96" t="str">
        <f t="shared" si="39"/>
        <v>-</v>
      </c>
      <c r="Y112" s="107" t="str">
        <f t="shared" si="33"/>
        <v/>
      </c>
      <c r="Z112" s="71"/>
    </row>
    <row r="113" spans="1:26" x14ac:dyDescent="0.2">
      <c r="A113" s="108">
        <v>86</v>
      </c>
      <c r="B113" s="132">
        <f t="shared" si="22"/>
        <v>0</v>
      </c>
      <c r="C113" s="104">
        <f t="shared" si="40"/>
        <v>0</v>
      </c>
      <c r="D113" s="132">
        <f t="shared" si="25"/>
        <v>0</v>
      </c>
      <c r="E113" s="132">
        <f t="shared" si="26"/>
        <v>0</v>
      </c>
      <c r="F113" s="132">
        <f t="shared" si="27"/>
        <v>0</v>
      </c>
      <c r="G113" s="114">
        <f>IF(SUM(K$27:K112)&gt;0,0,IF(Y113&lt;&gt;"-",$B$3,0))</f>
        <v>0</v>
      </c>
      <c r="H113" s="114">
        <f t="shared" si="28"/>
        <v>0</v>
      </c>
      <c r="I113" s="105">
        <f t="shared" si="34"/>
        <v>0</v>
      </c>
      <c r="J113" s="105">
        <f t="shared" si="29"/>
        <v>0</v>
      </c>
      <c r="K113" s="132">
        <f t="shared" si="23"/>
        <v>0</v>
      </c>
      <c r="L113" s="133">
        <f t="shared" si="24"/>
        <v>0</v>
      </c>
      <c r="M113" s="132">
        <f>IF(SUM(K$28:K113)&gt;0,MIN(O112*(1+B$9)^(1/12),G$25-G113+K113),0)</f>
        <v>0</v>
      </c>
      <c r="N113" s="132">
        <f t="shared" si="30"/>
        <v>0</v>
      </c>
      <c r="O113" s="133">
        <f t="shared" si="31"/>
        <v>0</v>
      </c>
      <c r="P113" s="103">
        <f>SUM(N$27:N113)</f>
        <v>0</v>
      </c>
      <c r="Q113" s="103">
        <f t="shared" si="41"/>
        <v>0</v>
      </c>
      <c r="R113" s="103">
        <f t="shared" si="35"/>
        <v>0</v>
      </c>
      <c r="S113" s="103">
        <f t="shared" si="36"/>
        <v>0</v>
      </c>
      <c r="T113" s="103">
        <f t="shared" si="37"/>
        <v>0</v>
      </c>
      <c r="U113" s="96" t="s">
        <v>67</v>
      </c>
      <c r="V113" s="96" t="str">
        <f t="shared" si="32"/>
        <v>-</v>
      </c>
      <c r="W113" s="96" t="str">
        <f t="shared" si="38"/>
        <v>-</v>
      </c>
      <c r="X113" s="96" t="str">
        <f t="shared" si="39"/>
        <v>-</v>
      </c>
      <c r="Y113" s="107" t="str">
        <f t="shared" si="33"/>
        <v/>
      </c>
      <c r="Z113" s="71"/>
    </row>
    <row r="114" spans="1:26" x14ac:dyDescent="0.2">
      <c r="A114" s="108">
        <v>87</v>
      </c>
      <c r="B114" s="132">
        <f t="shared" si="22"/>
        <v>0</v>
      </c>
      <c r="C114" s="104">
        <f t="shared" si="40"/>
        <v>0</v>
      </c>
      <c r="D114" s="132">
        <f t="shared" si="25"/>
        <v>0</v>
      </c>
      <c r="E114" s="132">
        <f t="shared" si="26"/>
        <v>0</v>
      </c>
      <c r="F114" s="132">
        <f t="shared" si="27"/>
        <v>0</v>
      </c>
      <c r="G114" s="114">
        <f>IF(SUM(K$27:K113)&gt;0,0,IF(Y114&lt;&gt;"-",$B$3,0))</f>
        <v>0</v>
      </c>
      <c r="H114" s="114">
        <f t="shared" si="28"/>
        <v>0</v>
      </c>
      <c r="I114" s="105">
        <f t="shared" si="34"/>
        <v>0</v>
      </c>
      <c r="J114" s="105">
        <f t="shared" si="29"/>
        <v>0</v>
      </c>
      <c r="K114" s="132">
        <f t="shared" si="23"/>
        <v>0</v>
      </c>
      <c r="L114" s="133">
        <f t="shared" si="24"/>
        <v>0</v>
      </c>
      <c r="M114" s="132">
        <f>IF(SUM(K$28:K114)&gt;0,MIN(O113*(1+B$9)^(1/12),G$25-G114+K114),0)</f>
        <v>0</v>
      </c>
      <c r="N114" s="132">
        <f t="shared" si="30"/>
        <v>0</v>
      </c>
      <c r="O114" s="133">
        <f t="shared" si="31"/>
        <v>0</v>
      </c>
      <c r="P114" s="103">
        <f>SUM(N$27:N114)</f>
        <v>0</v>
      </c>
      <c r="Q114" s="103">
        <f t="shared" si="41"/>
        <v>0</v>
      </c>
      <c r="R114" s="103">
        <f t="shared" si="35"/>
        <v>0</v>
      </c>
      <c r="S114" s="103">
        <f t="shared" si="36"/>
        <v>0</v>
      </c>
      <c r="T114" s="103">
        <f t="shared" si="37"/>
        <v>0</v>
      </c>
      <c r="U114" s="96" t="s">
        <v>67</v>
      </c>
      <c r="V114" s="96" t="str">
        <f t="shared" si="32"/>
        <v>q</v>
      </c>
      <c r="W114" s="96" t="str">
        <f t="shared" si="38"/>
        <v>-</v>
      </c>
      <c r="X114" s="96" t="str">
        <f t="shared" si="39"/>
        <v>-</v>
      </c>
      <c r="Y114" s="107" t="str">
        <f t="shared" si="33"/>
        <v/>
      </c>
      <c r="Z114" s="71"/>
    </row>
    <row r="115" spans="1:26" x14ac:dyDescent="0.2">
      <c r="A115" s="108">
        <v>88</v>
      </c>
      <c r="B115" s="132">
        <f t="shared" si="22"/>
        <v>0</v>
      </c>
      <c r="C115" s="104">
        <f t="shared" si="40"/>
        <v>0</v>
      </c>
      <c r="D115" s="132">
        <f t="shared" si="25"/>
        <v>0</v>
      </c>
      <c r="E115" s="132">
        <f t="shared" si="26"/>
        <v>0</v>
      </c>
      <c r="F115" s="132">
        <f t="shared" si="27"/>
        <v>0</v>
      </c>
      <c r="G115" s="114">
        <f>IF(SUM(K$27:K114)&gt;0,0,IF(Y115&lt;&gt;"-",$B$3,0))</f>
        <v>0</v>
      </c>
      <c r="H115" s="114">
        <f t="shared" si="28"/>
        <v>0</v>
      </c>
      <c r="I115" s="105">
        <f t="shared" si="34"/>
        <v>0</v>
      </c>
      <c r="J115" s="105">
        <f t="shared" si="29"/>
        <v>0</v>
      </c>
      <c r="K115" s="132">
        <f t="shared" si="23"/>
        <v>0</v>
      </c>
      <c r="L115" s="133">
        <f t="shared" si="24"/>
        <v>0</v>
      </c>
      <c r="M115" s="132">
        <f>IF(SUM(K$28:K115)&gt;0,MIN(O114*(1+B$9)^(1/12),G$25-G115+K115),0)</f>
        <v>0</v>
      </c>
      <c r="N115" s="132">
        <f t="shared" si="30"/>
        <v>0</v>
      </c>
      <c r="O115" s="133">
        <f t="shared" si="31"/>
        <v>0</v>
      </c>
      <c r="P115" s="103">
        <f>SUM(N$27:N115)</f>
        <v>0</v>
      </c>
      <c r="Q115" s="103">
        <f t="shared" si="41"/>
        <v>0</v>
      </c>
      <c r="R115" s="103">
        <f t="shared" si="35"/>
        <v>0</v>
      </c>
      <c r="S115" s="103">
        <f t="shared" si="36"/>
        <v>0</v>
      </c>
      <c r="T115" s="103">
        <f t="shared" si="37"/>
        <v>0</v>
      </c>
      <c r="U115" s="96" t="s">
        <v>67</v>
      </c>
      <c r="V115" s="96" t="str">
        <f t="shared" si="32"/>
        <v>-</v>
      </c>
      <c r="W115" s="96" t="str">
        <f t="shared" si="38"/>
        <v>-</v>
      </c>
      <c r="X115" s="96" t="str">
        <f t="shared" si="39"/>
        <v>-</v>
      </c>
      <c r="Y115" s="107" t="str">
        <f t="shared" si="33"/>
        <v/>
      </c>
      <c r="Z115" s="71"/>
    </row>
    <row r="116" spans="1:26" x14ac:dyDescent="0.2">
      <c r="A116" s="108">
        <v>89</v>
      </c>
      <c r="B116" s="132">
        <f t="shared" si="22"/>
        <v>0</v>
      </c>
      <c r="C116" s="104">
        <f t="shared" si="40"/>
        <v>0</v>
      </c>
      <c r="D116" s="132">
        <f t="shared" si="25"/>
        <v>0</v>
      </c>
      <c r="E116" s="132">
        <f t="shared" si="26"/>
        <v>0</v>
      </c>
      <c r="F116" s="132">
        <f t="shared" si="27"/>
        <v>0</v>
      </c>
      <c r="G116" s="114">
        <f>IF(SUM(K$27:K115)&gt;0,0,IF(Y116&lt;&gt;"-",$B$3,0))</f>
        <v>0</v>
      </c>
      <c r="H116" s="114">
        <f t="shared" si="28"/>
        <v>0</v>
      </c>
      <c r="I116" s="105">
        <f t="shared" si="34"/>
        <v>0</v>
      </c>
      <c r="J116" s="105">
        <f t="shared" si="29"/>
        <v>0</v>
      </c>
      <c r="K116" s="132">
        <f t="shared" si="23"/>
        <v>0</v>
      </c>
      <c r="L116" s="133">
        <f t="shared" si="24"/>
        <v>0</v>
      </c>
      <c r="M116" s="132">
        <f>IF(SUM(K$28:K116)&gt;0,MIN(O115*(1+B$9)^(1/12),G$25-G116+K116),0)</f>
        <v>0</v>
      </c>
      <c r="N116" s="132">
        <f t="shared" si="30"/>
        <v>0</v>
      </c>
      <c r="O116" s="133">
        <f t="shared" si="31"/>
        <v>0</v>
      </c>
      <c r="P116" s="103">
        <f>SUM(N$27:N116)</f>
        <v>0</v>
      </c>
      <c r="Q116" s="103">
        <f t="shared" si="41"/>
        <v>0</v>
      </c>
      <c r="R116" s="103">
        <f t="shared" si="35"/>
        <v>0</v>
      </c>
      <c r="S116" s="103">
        <f t="shared" si="36"/>
        <v>0</v>
      </c>
      <c r="T116" s="103">
        <f t="shared" si="37"/>
        <v>0</v>
      </c>
      <c r="U116" s="96" t="s">
        <v>67</v>
      </c>
      <c r="V116" s="96" t="str">
        <f t="shared" si="32"/>
        <v>-</v>
      </c>
      <c r="W116" s="96" t="str">
        <f t="shared" si="38"/>
        <v>-</v>
      </c>
      <c r="X116" s="96" t="str">
        <f t="shared" si="39"/>
        <v>-</v>
      </c>
      <c r="Y116" s="107" t="str">
        <f t="shared" si="33"/>
        <v/>
      </c>
      <c r="Z116" s="71"/>
    </row>
    <row r="117" spans="1:26" x14ac:dyDescent="0.2">
      <c r="A117" s="108">
        <v>90</v>
      </c>
      <c r="B117" s="132">
        <f t="shared" si="22"/>
        <v>0</v>
      </c>
      <c r="C117" s="104">
        <f t="shared" si="40"/>
        <v>0</v>
      </c>
      <c r="D117" s="132">
        <f t="shared" si="25"/>
        <v>0</v>
      </c>
      <c r="E117" s="132">
        <f t="shared" si="26"/>
        <v>0</v>
      </c>
      <c r="F117" s="132">
        <f t="shared" si="27"/>
        <v>0</v>
      </c>
      <c r="G117" s="114">
        <f>IF(SUM(K$27:K116)&gt;0,0,IF(Y117&lt;&gt;"-",$B$3,0))</f>
        <v>0</v>
      </c>
      <c r="H117" s="114">
        <f t="shared" si="28"/>
        <v>0</v>
      </c>
      <c r="I117" s="105">
        <f t="shared" si="34"/>
        <v>0</v>
      </c>
      <c r="J117" s="105">
        <f t="shared" si="29"/>
        <v>0</v>
      </c>
      <c r="K117" s="132">
        <f t="shared" si="23"/>
        <v>0</v>
      </c>
      <c r="L117" s="133">
        <f t="shared" si="24"/>
        <v>0</v>
      </c>
      <c r="M117" s="132">
        <f>IF(SUM(K$28:K117)&gt;0,MIN(O116*(1+B$9)^(1/12),G$25-G117+K117),0)</f>
        <v>0</v>
      </c>
      <c r="N117" s="132">
        <f t="shared" si="30"/>
        <v>0</v>
      </c>
      <c r="O117" s="133">
        <f t="shared" si="31"/>
        <v>0</v>
      </c>
      <c r="P117" s="103">
        <f>SUM(N$27:N117)</f>
        <v>0</v>
      </c>
      <c r="Q117" s="103">
        <f t="shared" si="41"/>
        <v>0</v>
      </c>
      <c r="R117" s="103">
        <f t="shared" si="35"/>
        <v>0</v>
      </c>
      <c r="S117" s="103">
        <f t="shared" si="36"/>
        <v>0</v>
      </c>
      <c r="T117" s="103">
        <f t="shared" si="37"/>
        <v>0</v>
      </c>
      <c r="U117" s="96" t="s">
        <v>67</v>
      </c>
      <c r="V117" s="96" t="str">
        <f t="shared" si="32"/>
        <v>q</v>
      </c>
      <c r="W117" s="96" t="str">
        <f t="shared" si="38"/>
        <v>s</v>
      </c>
      <c r="X117" s="96" t="str">
        <f t="shared" si="39"/>
        <v>-</v>
      </c>
      <c r="Y117" s="107" t="str">
        <f t="shared" si="33"/>
        <v/>
      </c>
      <c r="Z117" s="71"/>
    </row>
    <row r="118" spans="1:26" x14ac:dyDescent="0.2">
      <c r="A118" s="108">
        <v>91</v>
      </c>
      <c r="B118" s="132">
        <f t="shared" si="22"/>
        <v>0</v>
      </c>
      <c r="C118" s="104">
        <f t="shared" si="40"/>
        <v>0</v>
      </c>
      <c r="D118" s="132">
        <f t="shared" si="25"/>
        <v>0</v>
      </c>
      <c r="E118" s="132">
        <f t="shared" si="26"/>
        <v>0</v>
      </c>
      <c r="F118" s="132">
        <f t="shared" si="27"/>
        <v>0</v>
      </c>
      <c r="G118" s="114">
        <f>IF(SUM(K$27:K117)&gt;0,0,IF(Y118&lt;&gt;"-",$B$3,0))</f>
        <v>0</v>
      </c>
      <c r="H118" s="114">
        <f t="shared" si="28"/>
        <v>0</v>
      </c>
      <c r="I118" s="105">
        <f t="shared" si="34"/>
        <v>0</v>
      </c>
      <c r="J118" s="105">
        <f t="shared" si="29"/>
        <v>0</v>
      </c>
      <c r="K118" s="132">
        <f t="shared" si="23"/>
        <v>0</v>
      </c>
      <c r="L118" s="133">
        <f t="shared" si="24"/>
        <v>0</v>
      </c>
      <c r="M118" s="132">
        <f>IF(SUM(K$28:K118)&gt;0,MIN(O117*(1+B$9)^(1/12),G$25-G118+K118),0)</f>
        <v>0</v>
      </c>
      <c r="N118" s="132">
        <f t="shared" si="30"/>
        <v>0</v>
      </c>
      <c r="O118" s="133">
        <f t="shared" si="31"/>
        <v>0</v>
      </c>
      <c r="P118" s="103">
        <f>SUM(N$27:N118)</f>
        <v>0</v>
      </c>
      <c r="Q118" s="103">
        <f t="shared" si="41"/>
        <v>0</v>
      </c>
      <c r="R118" s="103">
        <f t="shared" si="35"/>
        <v>0</v>
      </c>
      <c r="S118" s="103">
        <f t="shared" si="36"/>
        <v>0</v>
      </c>
      <c r="T118" s="103">
        <f t="shared" si="37"/>
        <v>0</v>
      </c>
      <c r="U118" s="96" t="s">
        <v>67</v>
      </c>
      <c r="V118" s="96" t="str">
        <f t="shared" si="32"/>
        <v>-</v>
      </c>
      <c r="W118" s="96" t="str">
        <f t="shared" si="38"/>
        <v>-</v>
      </c>
      <c r="X118" s="96" t="str">
        <f t="shared" si="39"/>
        <v>-</v>
      </c>
      <c r="Y118" s="107" t="str">
        <f t="shared" si="33"/>
        <v/>
      </c>
      <c r="Z118" s="71"/>
    </row>
    <row r="119" spans="1:26" x14ac:dyDescent="0.2">
      <c r="A119" s="108">
        <v>92</v>
      </c>
      <c r="B119" s="132">
        <f t="shared" si="22"/>
        <v>0</v>
      </c>
      <c r="C119" s="104">
        <f t="shared" si="40"/>
        <v>0</v>
      </c>
      <c r="D119" s="132">
        <f t="shared" si="25"/>
        <v>0</v>
      </c>
      <c r="E119" s="132">
        <f t="shared" si="26"/>
        <v>0</v>
      </c>
      <c r="F119" s="132">
        <f t="shared" si="27"/>
        <v>0</v>
      </c>
      <c r="G119" s="114">
        <f>IF(SUM(K$27:K118)&gt;0,0,IF(Y119&lt;&gt;"-",$B$3,0))</f>
        <v>0</v>
      </c>
      <c r="H119" s="114">
        <f t="shared" si="28"/>
        <v>0</v>
      </c>
      <c r="I119" s="105">
        <f t="shared" si="34"/>
        <v>0</v>
      </c>
      <c r="J119" s="105">
        <f t="shared" si="29"/>
        <v>0</v>
      </c>
      <c r="K119" s="132">
        <f t="shared" si="23"/>
        <v>0</v>
      </c>
      <c r="L119" s="133">
        <f t="shared" si="24"/>
        <v>0</v>
      </c>
      <c r="M119" s="132">
        <f>IF(SUM(K$28:K119)&gt;0,MIN(O118*(1+B$9)^(1/12),G$25-G119+K119),0)</f>
        <v>0</v>
      </c>
      <c r="N119" s="132">
        <f t="shared" si="30"/>
        <v>0</v>
      </c>
      <c r="O119" s="133">
        <f t="shared" si="31"/>
        <v>0</v>
      </c>
      <c r="P119" s="103">
        <f>SUM(N$27:N119)</f>
        <v>0</v>
      </c>
      <c r="Q119" s="103">
        <f t="shared" si="41"/>
        <v>0</v>
      </c>
      <c r="R119" s="103">
        <f t="shared" si="35"/>
        <v>0</v>
      </c>
      <c r="S119" s="103">
        <f t="shared" si="36"/>
        <v>0</v>
      </c>
      <c r="T119" s="103">
        <f t="shared" si="37"/>
        <v>0</v>
      </c>
      <c r="U119" s="96" t="s">
        <v>67</v>
      </c>
      <c r="V119" s="96" t="str">
        <f t="shared" si="32"/>
        <v>-</v>
      </c>
      <c r="W119" s="96" t="str">
        <f t="shared" si="38"/>
        <v>-</v>
      </c>
      <c r="X119" s="96" t="str">
        <f t="shared" si="39"/>
        <v>-</v>
      </c>
      <c r="Y119" s="107" t="str">
        <f t="shared" si="33"/>
        <v/>
      </c>
      <c r="Z119" s="71"/>
    </row>
    <row r="120" spans="1:26" x14ac:dyDescent="0.2">
      <c r="A120" s="108">
        <v>93</v>
      </c>
      <c r="B120" s="132">
        <f t="shared" si="22"/>
        <v>0</v>
      </c>
      <c r="C120" s="104">
        <f t="shared" si="40"/>
        <v>0</v>
      </c>
      <c r="D120" s="132">
        <f t="shared" si="25"/>
        <v>0</v>
      </c>
      <c r="E120" s="132">
        <f t="shared" si="26"/>
        <v>0</v>
      </c>
      <c r="F120" s="132">
        <f t="shared" si="27"/>
        <v>0</v>
      </c>
      <c r="G120" s="114">
        <f>IF(SUM(K$27:K119)&gt;0,0,IF(Y120&lt;&gt;"-",$B$3,0))</f>
        <v>0</v>
      </c>
      <c r="H120" s="114">
        <f t="shared" si="28"/>
        <v>0</v>
      </c>
      <c r="I120" s="105">
        <f t="shared" si="34"/>
        <v>0</v>
      </c>
      <c r="J120" s="105">
        <f t="shared" si="29"/>
        <v>0</v>
      </c>
      <c r="K120" s="132">
        <f t="shared" si="23"/>
        <v>0</v>
      </c>
      <c r="L120" s="133">
        <f t="shared" si="24"/>
        <v>0</v>
      </c>
      <c r="M120" s="132">
        <f>IF(SUM(K$28:K120)&gt;0,MIN(O119*(1+B$9)^(1/12),G$25-G120+K120),0)</f>
        <v>0</v>
      </c>
      <c r="N120" s="132">
        <f t="shared" si="30"/>
        <v>0</v>
      </c>
      <c r="O120" s="133">
        <f t="shared" si="31"/>
        <v>0</v>
      </c>
      <c r="P120" s="103">
        <f>SUM(N$27:N120)</f>
        <v>0</v>
      </c>
      <c r="Q120" s="103">
        <f t="shared" si="41"/>
        <v>0</v>
      </c>
      <c r="R120" s="103">
        <f t="shared" si="35"/>
        <v>0</v>
      </c>
      <c r="S120" s="103">
        <f t="shared" si="36"/>
        <v>0</v>
      </c>
      <c r="T120" s="103">
        <f t="shared" si="37"/>
        <v>0</v>
      </c>
      <c r="U120" s="96" t="s">
        <v>67</v>
      </c>
      <c r="V120" s="96" t="str">
        <f t="shared" si="32"/>
        <v>q</v>
      </c>
      <c r="W120" s="96" t="str">
        <f t="shared" si="38"/>
        <v>-</v>
      </c>
      <c r="X120" s="96" t="str">
        <f t="shared" si="39"/>
        <v>-</v>
      </c>
      <c r="Y120" s="107" t="str">
        <f t="shared" si="33"/>
        <v/>
      </c>
      <c r="Z120" s="71"/>
    </row>
    <row r="121" spans="1:26" x14ac:dyDescent="0.2">
      <c r="A121" s="108">
        <v>94</v>
      </c>
      <c r="B121" s="132">
        <f t="shared" si="22"/>
        <v>0</v>
      </c>
      <c r="C121" s="104">
        <f t="shared" si="40"/>
        <v>0</v>
      </c>
      <c r="D121" s="132">
        <f t="shared" si="25"/>
        <v>0</v>
      </c>
      <c r="E121" s="132">
        <f t="shared" si="26"/>
        <v>0</v>
      </c>
      <c r="F121" s="132">
        <f t="shared" si="27"/>
        <v>0</v>
      </c>
      <c r="G121" s="114">
        <f>IF(SUM(K$27:K120)&gt;0,0,IF(Y121&lt;&gt;"-",$B$3,0))</f>
        <v>0</v>
      </c>
      <c r="H121" s="114">
        <f t="shared" si="28"/>
        <v>0</v>
      </c>
      <c r="I121" s="105">
        <f t="shared" si="34"/>
        <v>0</v>
      </c>
      <c r="J121" s="105">
        <f t="shared" si="29"/>
        <v>0</v>
      </c>
      <c r="K121" s="132">
        <f t="shared" si="23"/>
        <v>0</v>
      </c>
      <c r="L121" s="133">
        <f t="shared" si="24"/>
        <v>0</v>
      </c>
      <c r="M121" s="132">
        <f>IF(SUM(K$28:K121)&gt;0,MIN(O120*(1+B$9)^(1/12),G$25-G121+K121),0)</f>
        <v>0</v>
      </c>
      <c r="N121" s="132">
        <f t="shared" si="30"/>
        <v>0</v>
      </c>
      <c r="O121" s="133">
        <f t="shared" si="31"/>
        <v>0</v>
      </c>
      <c r="P121" s="103">
        <f>SUM(N$27:N121)</f>
        <v>0</v>
      </c>
      <c r="Q121" s="103">
        <f t="shared" si="41"/>
        <v>0</v>
      </c>
      <c r="R121" s="103">
        <f t="shared" si="35"/>
        <v>0</v>
      </c>
      <c r="S121" s="103">
        <f t="shared" si="36"/>
        <v>0</v>
      </c>
      <c r="T121" s="103">
        <f t="shared" si="37"/>
        <v>0</v>
      </c>
      <c r="U121" s="96" t="s">
        <v>67</v>
      </c>
      <c r="V121" s="96" t="str">
        <f t="shared" si="32"/>
        <v>-</v>
      </c>
      <c r="W121" s="96" t="str">
        <f t="shared" si="38"/>
        <v>-</v>
      </c>
      <c r="X121" s="96" t="str">
        <f t="shared" si="39"/>
        <v>-</v>
      </c>
      <c r="Y121" s="107" t="str">
        <f t="shared" si="33"/>
        <v/>
      </c>
      <c r="Z121" s="71"/>
    </row>
    <row r="122" spans="1:26" x14ac:dyDescent="0.2">
      <c r="A122" s="108">
        <v>95</v>
      </c>
      <c r="B122" s="132">
        <f t="shared" ref="B122:B145" si="42">G122+H122-D122-K122</f>
        <v>0</v>
      </c>
      <c r="C122" s="104">
        <f t="shared" si="40"/>
        <v>0</v>
      </c>
      <c r="D122" s="132">
        <f t="shared" si="25"/>
        <v>0</v>
      </c>
      <c r="E122" s="132">
        <f t="shared" si="26"/>
        <v>0</v>
      </c>
      <c r="F122" s="132">
        <f t="shared" si="27"/>
        <v>0</v>
      </c>
      <c r="G122" s="114">
        <f>IF(SUM(K$27:K121)&gt;0,0,IF(Y122&lt;&gt;"-",$B$3,0))</f>
        <v>0</v>
      </c>
      <c r="H122" s="114">
        <f t="shared" si="28"/>
        <v>0</v>
      </c>
      <c r="I122" s="105">
        <f t="shared" si="34"/>
        <v>0</v>
      </c>
      <c r="J122" s="105">
        <f t="shared" si="29"/>
        <v>0</v>
      </c>
      <c r="K122" s="132">
        <f t="shared" ref="K122:K147" si="43">MAX(SUM(G122:J122)-SUM(C122:F122),0)</f>
        <v>0</v>
      </c>
      <c r="L122" s="133">
        <f t="shared" ref="L122:L147" si="44">SUM(C122:F122)-SUM(G122:J122)+K122</f>
        <v>0</v>
      </c>
      <c r="M122" s="132">
        <f>IF(SUM(K$28:K122)&gt;0,MIN(O121*(1+B$9)^(1/12),G$25-G122+K122),0)</f>
        <v>0</v>
      </c>
      <c r="N122" s="132">
        <f t="shared" si="30"/>
        <v>0</v>
      </c>
      <c r="O122" s="133">
        <f t="shared" si="31"/>
        <v>0</v>
      </c>
      <c r="P122" s="103">
        <f>SUM(N$27:N122)</f>
        <v>0</v>
      </c>
      <c r="Q122" s="103">
        <f t="shared" si="41"/>
        <v>0</v>
      </c>
      <c r="R122" s="103">
        <f t="shared" si="35"/>
        <v>0</v>
      </c>
      <c r="S122" s="103">
        <f t="shared" si="36"/>
        <v>0</v>
      </c>
      <c r="T122" s="103">
        <f t="shared" si="37"/>
        <v>0</v>
      </c>
      <c r="U122" s="96" t="s">
        <v>67</v>
      </c>
      <c r="V122" s="96" t="str">
        <f t="shared" si="32"/>
        <v>-</v>
      </c>
      <c r="W122" s="96" t="str">
        <f t="shared" si="38"/>
        <v>-</v>
      </c>
      <c r="X122" s="96" t="str">
        <f t="shared" si="39"/>
        <v>-</v>
      </c>
      <c r="Y122" s="107" t="str">
        <f t="shared" si="33"/>
        <v/>
      </c>
      <c r="Z122" s="71"/>
    </row>
    <row r="123" spans="1:26" x14ac:dyDescent="0.2">
      <c r="A123" s="110">
        <v>96</v>
      </c>
      <c r="B123" s="111">
        <f t="shared" si="42"/>
        <v>0</v>
      </c>
      <c r="C123" s="111">
        <f t="shared" si="40"/>
        <v>0</v>
      </c>
      <c r="D123" s="111">
        <f t="shared" si="25"/>
        <v>0</v>
      </c>
      <c r="E123" s="111">
        <f t="shared" si="26"/>
        <v>0</v>
      </c>
      <c r="F123" s="111">
        <f t="shared" si="27"/>
        <v>0</v>
      </c>
      <c r="G123" s="112">
        <f>IF(SUM(K$27:K122)&gt;0,0,IF(Y123&lt;&gt;"-",$B$3,0))</f>
        <v>0</v>
      </c>
      <c r="H123" s="112">
        <f t="shared" si="28"/>
        <v>0</v>
      </c>
      <c r="I123" s="112">
        <f t="shared" si="34"/>
        <v>0</v>
      </c>
      <c r="J123" s="112">
        <f t="shared" si="29"/>
        <v>0</v>
      </c>
      <c r="K123" s="111">
        <f t="shared" si="43"/>
        <v>0</v>
      </c>
      <c r="L123" s="113">
        <f t="shared" si="44"/>
        <v>0</v>
      </c>
      <c r="M123" s="111">
        <f>IF(SUM(K$28:K123)&gt;0,MIN(O122*(1+B$9)^(1/12),G$25-G123+K123),0)</f>
        <v>0</v>
      </c>
      <c r="N123" s="111">
        <f t="shared" si="30"/>
        <v>0</v>
      </c>
      <c r="O123" s="113">
        <f t="shared" si="31"/>
        <v>0</v>
      </c>
      <c r="P123" s="111">
        <f>SUM(N$27:N123)</f>
        <v>0</v>
      </c>
      <c r="Q123" s="111">
        <f t="shared" si="41"/>
        <v>0</v>
      </c>
      <c r="R123" s="111">
        <f t="shared" si="35"/>
        <v>0</v>
      </c>
      <c r="S123" s="111">
        <f t="shared" si="36"/>
        <v>0</v>
      </c>
      <c r="T123" s="111">
        <f t="shared" si="37"/>
        <v>0</v>
      </c>
      <c r="U123" s="101" t="s">
        <v>67</v>
      </c>
      <c r="V123" s="101" t="str">
        <f t="shared" si="32"/>
        <v>q</v>
      </c>
      <c r="W123" s="101" t="str">
        <f t="shared" si="38"/>
        <v>s</v>
      </c>
      <c r="X123" s="101" t="str">
        <f t="shared" si="39"/>
        <v>a</v>
      </c>
      <c r="Y123" s="107" t="str">
        <f t="shared" si="33"/>
        <v/>
      </c>
      <c r="Z123" s="71"/>
    </row>
    <row r="124" spans="1:26" x14ac:dyDescent="0.2">
      <c r="A124" s="108">
        <v>97</v>
      </c>
      <c r="B124" s="132">
        <f t="shared" si="42"/>
        <v>0</v>
      </c>
      <c r="C124" s="104">
        <f t="shared" si="40"/>
        <v>0</v>
      </c>
      <c r="D124" s="132">
        <f t="shared" si="25"/>
        <v>0</v>
      </c>
      <c r="E124" s="132">
        <f t="shared" si="26"/>
        <v>0</v>
      </c>
      <c r="F124" s="132">
        <f t="shared" si="27"/>
        <v>0</v>
      </c>
      <c r="G124" s="114">
        <f>IF(SUM(K$27:K123)&gt;0,0,IF(Y124&lt;&gt;"-",$B$3,0))</f>
        <v>0</v>
      </c>
      <c r="H124" s="114">
        <f t="shared" si="28"/>
        <v>0</v>
      </c>
      <c r="I124" s="105">
        <f t="shared" si="34"/>
        <v>0</v>
      </c>
      <c r="J124" s="105">
        <f t="shared" si="29"/>
        <v>0</v>
      </c>
      <c r="K124" s="132">
        <f t="shared" si="43"/>
        <v>0</v>
      </c>
      <c r="L124" s="133">
        <f t="shared" si="44"/>
        <v>0</v>
      </c>
      <c r="M124" s="132">
        <f>IF(SUM(K$28:K124)&gt;0,MIN(O123*(1+B$9)^(1/12),G$25-G124+K124),0)</f>
        <v>0</v>
      </c>
      <c r="N124" s="132">
        <f t="shared" si="30"/>
        <v>0</v>
      </c>
      <c r="O124" s="133">
        <f t="shared" si="31"/>
        <v>0</v>
      </c>
      <c r="P124" s="103">
        <f>SUM(N$27:N124)</f>
        <v>0</v>
      </c>
      <c r="Q124" s="103">
        <f t="shared" si="41"/>
        <v>0</v>
      </c>
      <c r="R124" s="103">
        <f t="shared" si="35"/>
        <v>0</v>
      </c>
      <c r="S124" s="103">
        <f t="shared" si="36"/>
        <v>0</v>
      </c>
      <c r="T124" s="103">
        <f t="shared" si="37"/>
        <v>0</v>
      </c>
      <c r="U124" s="96" t="s">
        <v>67</v>
      </c>
      <c r="V124" s="96" t="str">
        <f t="shared" si="32"/>
        <v>-</v>
      </c>
      <c r="W124" s="96" t="str">
        <f t="shared" si="38"/>
        <v>-</v>
      </c>
      <c r="X124" s="96" t="str">
        <f t="shared" si="39"/>
        <v>-</v>
      </c>
      <c r="Y124" s="107" t="str">
        <f t="shared" si="33"/>
        <v/>
      </c>
      <c r="Z124" s="71"/>
    </row>
    <row r="125" spans="1:26" x14ac:dyDescent="0.2">
      <c r="A125" s="108">
        <v>98</v>
      </c>
      <c r="B125" s="132">
        <f t="shared" si="42"/>
        <v>0</v>
      </c>
      <c r="C125" s="104">
        <f t="shared" si="40"/>
        <v>0</v>
      </c>
      <c r="D125" s="132">
        <f t="shared" si="25"/>
        <v>0</v>
      </c>
      <c r="E125" s="132">
        <f t="shared" si="26"/>
        <v>0</v>
      </c>
      <c r="F125" s="132">
        <f t="shared" si="27"/>
        <v>0</v>
      </c>
      <c r="G125" s="114">
        <f>IF(SUM(K$27:K124)&gt;0,0,IF(Y125&lt;&gt;"-",$B$3,0))</f>
        <v>0</v>
      </c>
      <c r="H125" s="114">
        <f t="shared" si="28"/>
        <v>0</v>
      </c>
      <c r="I125" s="105">
        <f t="shared" si="34"/>
        <v>0</v>
      </c>
      <c r="J125" s="105">
        <f t="shared" si="29"/>
        <v>0</v>
      </c>
      <c r="K125" s="132">
        <f t="shared" si="43"/>
        <v>0</v>
      </c>
      <c r="L125" s="133">
        <f t="shared" si="44"/>
        <v>0</v>
      </c>
      <c r="M125" s="132">
        <f>IF(SUM(K$28:K125)&gt;0,MIN(O124*(1+B$9)^(1/12),G$25-G125+K125),0)</f>
        <v>0</v>
      </c>
      <c r="N125" s="132">
        <f t="shared" si="30"/>
        <v>0</v>
      </c>
      <c r="O125" s="133">
        <f t="shared" si="31"/>
        <v>0</v>
      </c>
      <c r="P125" s="103">
        <f>SUM(N$27:N125)</f>
        <v>0</v>
      </c>
      <c r="Q125" s="103">
        <f t="shared" si="41"/>
        <v>0</v>
      </c>
      <c r="R125" s="103">
        <f t="shared" si="35"/>
        <v>0</v>
      </c>
      <c r="S125" s="103">
        <f t="shared" si="36"/>
        <v>0</v>
      </c>
      <c r="T125" s="103">
        <f t="shared" si="37"/>
        <v>0</v>
      </c>
      <c r="U125" s="96" t="s">
        <v>67</v>
      </c>
      <c r="V125" s="96" t="str">
        <f t="shared" si="32"/>
        <v>-</v>
      </c>
      <c r="W125" s="96" t="str">
        <f t="shared" si="38"/>
        <v>-</v>
      </c>
      <c r="X125" s="96" t="str">
        <f t="shared" si="39"/>
        <v>-</v>
      </c>
      <c r="Y125" s="107" t="str">
        <f t="shared" si="33"/>
        <v/>
      </c>
      <c r="Z125" s="71"/>
    </row>
    <row r="126" spans="1:26" x14ac:dyDescent="0.2">
      <c r="A126" s="108">
        <v>99</v>
      </c>
      <c r="B126" s="132">
        <f t="shared" si="42"/>
        <v>0</v>
      </c>
      <c r="C126" s="104">
        <f t="shared" si="40"/>
        <v>0</v>
      </c>
      <c r="D126" s="132">
        <f t="shared" si="25"/>
        <v>0</v>
      </c>
      <c r="E126" s="132">
        <f t="shared" si="26"/>
        <v>0</v>
      </c>
      <c r="F126" s="132">
        <f t="shared" si="27"/>
        <v>0</v>
      </c>
      <c r="G126" s="114">
        <f>IF(SUM(K$27:K125)&gt;0,0,IF(Y126&lt;&gt;"-",$B$3,0))</f>
        <v>0</v>
      </c>
      <c r="H126" s="114">
        <f t="shared" si="28"/>
        <v>0</v>
      </c>
      <c r="I126" s="105">
        <f t="shared" si="34"/>
        <v>0</v>
      </c>
      <c r="J126" s="105">
        <f t="shared" si="29"/>
        <v>0</v>
      </c>
      <c r="K126" s="132">
        <f t="shared" si="43"/>
        <v>0</v>
      </c>
      <c r="L126" s="133">
        <f t="shared" si="44"/>
        <v>0</v>
      </c>
      <c r="M126" s="132">
        <f>IF(SUM(K$28:K126)&gt;0,MIN(O125*(1+B$9)^(1/12),G$25-G126+K126),0)</f>
        <v>0</v>
      </c>
      <c r="N126" s="132">
        <f t="shared" si="30"/>
        <v>0</v>
      </c>
      <c r="O126" s="133">
        <f t="shared" si="31"/>
        <v>0</v>
      </c>
      <c r="P126" s="103">
        <f>SUM(N$27:N126)</f>
        <v>0</v>
      </c>
      <c r="Q126" s="103">
        <f t="shared" si="41"/>
        <v>0</v>
      </c>
      <c r="R126" s="103">
        <f t="shared" si="35"/>
        <v>0</v>
      </c>
      <c r="S126" s="103">
        <f t="shared" si="36"/>
        <v>0</v>
      </c>
      <c r="T126" s="103">
        <f t="shared" si="37"/>
        <v>0</v>
      </c>
      <c r="U126" s="96" t="s">
        <v>67</v>
      </c>
      <c r="V126" s="96" t="str">
        <f t="shared" si="32"/>
        <v>q</v>
      </c>
      <c r="W126" s="96" t="str">
        <f t="shared" si="38"/>
        <v>-</v>
      </c>
      <c r="X126" s="96" t="str">
        <f t="shared" si="39"/>
        <v>-</v>
      </c>
      <c r="Y126" s="107" t="str">
        <f t="shared" si="33"/>
        <v/>
      </c>
      <c r="Z126" s="71"/>
    </row>
    <row r="127" spans="1:26" x14ac:dyDescent="0.2">
      <c r="A127" s="108">
        <v>100</v>
      </c>
      <c r="B127" s="132">
        <f t="shared" si="42"/>
        <v>0</v>
      </c>
      <c r="C127" s="104">
        <f t="shared" si="40"/>
        <v>0</v>
      </c>
      <c r="D127" s="132">
        <f t="shared" si="25"/>
        <v>0</v>
      </c>
      <c r="E127" s="132">
        <f t="shared" si="26"/>
        <v>0</v>
      </c>
      <c r="F127" s="132">
        <f t="shared" si="27"/>
        <v>0</v>
      </c>
      <c r="G127" s="114">
        <f>IF(SUM(K$27:K126)&gt;0,0,IF(Y127&lt;&gt;"-",$B$3,0))</f>
        <v>0</v>
      </c>
      <c r="H127" s="114">
        <f t="shared" si="28"/>
        <v>0</v>
      </c>
      <c r="I127" s="105">
        <f t="shared" si="34"/>
        <v>0</v>
      </c>
      <c r="J127" s="105">
        <f t="shared" si="29"/>
        <v>0</v>
      </c>
      <c r="K127" s="132">
        <f t="shared" si="43"/>
        <v>0</v>
      </c>
      <c r="L127" s="133">
        <f t="shared" si="44"/>
        <v>0</v>
      </c>
      <c r="M127" s="132">
        <f>IF(SUM(K$28:K127)&gt;0,MIN(O126*(1+B$9)^(1/12),G$25-G127+K127),0)</f>
        <v>0</v>
      </c>
      <c r="N127" s="132">
        <f t="shared" si="30"/>
        <v>0</v>
      </c>
      <c r="O127" s="133">
        <f t="shared" si="31"/>
        <v>0</v>
      </c>
      <c r="P127" s="103">
        <f>SUM(N$27:N127)</f>
        <v>0</v>
      </c>
      <c r="Q127" s="103">
        <f t="shared" si="41"/>
        <v>0</v>
      </c>
      <c r="R127" s="103">
        <f t="shared" si="35"/>
        <v>0</v>
      </c>
      <c r="S127" s="103">
        <f t="shared" si="36"/>
        <v>0</v>
      </c>
      <c r="T127" s="103">
        <f t="shared" si="37"/>
        <v>0</v>
      </c>
      <c r="U127" s="96" t="s">
        <v>67</v>
      </c>
      <c r="V127" s="96" t="str">
        <f t="shared" si="32"/>
        <v>-</v>
      </c>
      <c r="W127" s="96" t="str">
        <f t="shared" si="38"/>
        <v>-</v>
      </c>
      <c r="X127" s="96" t="str">
        <f t="shared" si="39"/>
        <v>-</v>
      </c>
      <c r="Y127" s="107" t="str">
        <f t="shared" si="33"/>
        <v/>
      </c>
      <c r="Z127" s="71"/>
    </row>
    <row r="128" spans="1:26" x14ac:dyDescent="0.2">
      <c r="A128" s="108">
        <v>101</v>
      </c>
      <c r="B128" s="132">
        <f t="shared" si="42"/>
        <v>0</v>
      </c>
      <c r="C128" s="104">
        <f t="shared" si="40"/>
        <v>0</v>
      </c>
      <c r="D128" s="132">
        <f t="shared" si="25"/>
        <v>0</v>
      </c>
      <c r="E128" s="132">
        <f t="shared" si="26"/>
        <v>0</v>
      </c>
      <c r="F128" s="132">
        <f t="shared" si="27"/>
        <v>0</v>
      </c>
      <c r="G128" s="114">
        <f>IF(SUM(K$27:K127)&gt;0,0,IF(Y128&lt;&gt;"-",$B$3,0))</f>
        <v>0</v>
      </c>
      <c r="H128" s="114">
        <f t="shared" si="28"/>
        <v>0</v>
      </c>
      <c r="I128" s="105">
        <f t="shared" si="34"/>
        <v>0</v>
      </c>
      <c r="J128" s="105">
        <f t="shared" si="29"/>
        <v>0</v>
      </c>
      <c r="K128" s="132">
        <f t="shared" si="43"/>
        <v>0</v>
      </c>
      <c r="L128" s="133">
        <f t="shared" si="44"/>
        <v>0</v>
      </c>
      <c r="M128" s="132">
        <f>IF(SUM(K$28:K128)&gt;0,MIN(O127*(1+B$9)^(1/12),G$25-G128+K128),0)</f>
        <v>0</v>
      </c>
      <c r="N128" s="132">
        <f t="shared" si="30"/>
        <v>0</v>
      </c>
      <c r="O128" s="133">
        <f t="shared" si="31"/>
        <v>0</v>
      </c>
      <c r="P128" s="103">
        <f>SUM(N$27:N128)</f>
        <v>0</v>
      </c>
      <c r="Q128" s="103">
        <f t="shared" si="41"/>
        <v>0</v>
      </c>
      <c r="R128" s="103">
        <f t="shared" si="35"/>
        <v>0</v>
      </c>
      <c r="S128" s="103">
        <f t="shared" si="36"/>
        <v>0</v>
      </c>
      <c r="T128" s="103">
        <f t="shared" si="37"/>
        <v>0</v>
      </c>
      <c r="U128" s="96" t="s">
        <v>67</v>
      </c>
      <c r="V128" s="96" t="str">
        <f t="shared" si="32"/>
        <v>-</v>
      </c>
      <c r="W128" s="96" t="str">
        <f t="shared" si="38"/>
        <v>-</v>
      </c>
      <c r="X128" s="96" t="str">
        <f t="shared" si="39"/>
        <v>-</v>
      </c>
      <c r="Y128" s="107" t="str">
        <f t="shared" si="33"/>
        <v/>
      </c>
      <c r="Z128" s="71"/>
    </row>
    <row r="129" spans="1:26" x14ac:dyDescent="0.2">
      <c r="A129" s="108">
        <v>102</v>
      </c>
      <c r="B129" s="132">
        <f t="shared" si="42"/>
        <v>0</v>
      </c>
      <c r="C129" s="104">
        <f t="shared" si="40"/>
        <v>0</v>
      </c>
      <c r="D129" s="132">
        <f t="shared" si="25"/>
        <v>0</v>
      </c>
      <c r="E129" s="132">
        <f t="shared" si="26"/>
        <v>0</v>
      </c>
      <c r="F129" s="132">
        <f t="shared" si="27"/>
        <v>0</v>
      </c>
      <c r="G129" s="114">
        <f>IF(SUM(K$27:K128)&gt;0,0,IF(Y129&lt;&gt;"-",$B$3,0))</f>
        <v>0</v>
      </c>
      <c r="H129" s="114">
        <f t="shared" si="28"/>
        <v>0</v>
      </c>
      <c r="I129" s="105">
        <f t="shared" si="34"/>
        <v>0</v>
      </c>
      <c r="J129" s="105">
        <f t="shared" si="29"/>
        <v>0</v>
      </c>
      <c r="K129" s="132">
        <f t="shared" si="43"/>
        <v>0</v>
      </c>
      <c r="L129" s="133">
        <f t="shared" si="44"/>
        <v>0</v>
      </c>
      <c r="M129" s="132">
        <f>IF(SUM(K$28:K129)&gt;0,MIN(O128*(1+B$9)^(1/12),G$25-G129+K129),0)</f>
        <v>0</v>
      </c>
      <c r="N129" s="132">
        <f t="shared" si="30"/>
        <v>0</v>
      </c>
      <c r="O129" s="133">
        <f t="shared" si="31"/>
        <v>0</v>
      </c>
      <c r="P129" s="103">
        <f>SUM(N$27:N129)</f>
        <v>0</v>
      </c>
      <c r="Q129" s="103">
        <f t="shared" si="41"/>
        <v>0</v>
      </c>
      <c r="R129" s="103">
        <f t="shared" si="35"/>
        <v>0</v>
      </c>
      <c r="S129" s="103">
        <f t="shared" si="36"/>
        <v>0</v>
      </c>
      <c r="T129" s="103">
        <f t="shared" si="37"/>
        <v>0</v>
      </c>
      <c r="U129" s="96" t="s">
        <v>67</v>
      </c>
      <c r="V129" s="96" t="str">
        <f t="shared" si="32"/>
        <v>q</v>
      </c>
      <c r="W129" s="96" t="str">
        <f t="shared" si="38"/>
        <v>s</v>
      </c>
      <c r="X129" s="96" t="str">
        <f t="shared" si="39"/>
        <v>-</v>
      </c>
      <c r="Y129" s="107" t="str">
        <f t="shared" si="33"/>
        <v/>
      </c>
      <c r="Z129" s="71"/>
    </row>
    <row r="130" spans="1:26" x14ac:dyDescent="0.2">
      <c r="A130" s="108">
        <v>103</v>
      </c>
      <c r="B130" s="132">
        <f t="shared" si="42"/>
        <v>0</v>
      </c>
      <c r="C130" s="104">
        <f t="shared" si="40"/>
        <v>0</v>
      </c>
      <c r="D130" s="132">
        <f t="shared" si="25"/>
        <v>0</v>
      </c>
      <c r="E130" s="132">
        <f t="shared" si="26"/>
        <v>0</v>
      </c>
      <c r="F130" s="132">
        <f t="shared" si="27"/>
        <v>0</v>
      </c>
      <c r="G130" s="114">
        <f>IF(SUM(K$27:K129)&gt;0,0,IF(Y130&lt;&gt;"-",$B$3,0))</f>
        <v>0</v>
      </c>
      <c r="H130" s="114">
        <f t="shared" si="28"/>
        <v>0</v>
      </c>
      <c r="I130" s="105">
        <f t="shared" si="34"/>
        <v>0</v>
      </c>
      <c r="J130" s="105">
        <f t="shared" si="29"/>
        <v>0</v>
      </c>
      <c r="K130" s="132">
        <f t="shared" si="43"/>
        <v>0</v>
      </c>
      <c r="L130" s="133">
        <f t="shared" si="44"/>
        <v>0</v>
      </c>
      <c r="M130" s="132">
        <f>IF(SUM(K$28:K130)&gt;0,MIN(O129*(1+B$9)^(1/12),G$25-G130+K130),0)</f>
        <v>0</v>
      </c>
      <c r="N130" s="132">
        <f t="shared" si="30"/>
        <v>0</v>
      </c>
      <c r="O130" s="133">
        <f t="shared" si="31"/>
        <v>0</v>
      </c>
      <c r="P130" s="103">
        <f>SUM(N$27:N130)</f>
        <v>0</v>
      </c>
      <c r="Q130" s="103">
        <f t="shared" si="41"/>
        <v>0</v>
      </c>
      <c r="R130" s="103">
        <f t="shared" si="35"/>
        <v>0</v>
      </c>
      <c r="S130" s="103">
        <f t="shared" si="36"/>
        <v>0</v>
      </c>
      <c r="T130" s="103">
        <f t="shared" si="37"/>
        <v>0</v>
      </c>
      <c r="U130" s="96" t="s">
        <v>67</v>
      </c>
      <c r="V130" s="96" t="str">
        <f t="shared" si="32"/>
        <v>-</v>
      </c>
      <c r="W130" s="96" t="str">
        <f t="shared" si="38"/>
        <v>-</v>
      </c>
      <c r="X130" s="96" t="str">
        <f t="shared" si="39"/>
        <v>-</v>
      </c>
      <c r="Y130" s="107" t="str">
        <f t="shared" si="33"/>
        <v/>
      </c>
      <c r="Z130" s="71"/>
    </row>
    <row r="131" spans="1:26" x14ac:dyDescent="0.2">
      <c r="A131" s="108">
        <v>104</v>
      </c>
      <c r="B131" s="132">
        <f t="shared" si="42"/>
        <v>0</v>
      </c>
      <c r="C131" s="104">
        <f t="shared" si="40"/>
        <v>0</v>
      </c>
      <c r="D131" s="132">
        <f t="shared" si="25"/>
        <v>0</v>
      </c>
      <c r="E131" s="132">
        <f t="shared" si="26"/>
        <v>0</v>
      </c>
      <c r="F131" s="132">
        <f t="shared" si="27"/>
        <v>0</v>
      </c>
      <c r="G131" s="114">
        <f>IF(SUM(K$27:K130)&gt;0,0,IF(Y131&lt;&gt;"-",$B$3,0))</f>
        <v>0</v>
      </c>
      <c r="H131" s="114">
        <f t="shared" si="28"/>
        <v>0</v>
      </c>
      <c r="I131" s="105">
        <f t="shared" si="34"/>
        <v>0</v>
      </c>
      <c r="J131" s="105">
        <f t="shared" si="29"/>
        <v>0</v>
      </c>
      <c r="K131" s="132">
        <f t="shared" si="43"/>
        <v>0</v>
      </c>
      <c r="L131" s="133">
        <f t="shared" si="44"/>
        <v>0</v>
      </c>
      <c r="M131" s="132">
        <f>IF(SUM(K$28:K131)&gt;0,MIN(O130*(1+B$9)^(1/12),G$25-G131+K131),0)</f>
        <v>0</v>
      </c>
      <c r="N131" s="132">
        <f t="shared" si="30"/>
        <v>0</v>
      </c>
      <c r="O131" s="133">
        <f t="shared" si="31"/>
        <v>0</v>
      </c>
      <c r="P131" s="103">
        <f>SUM(N$27:N131)</f>
        <v>0</v>
      </c>
      <c r="Q131" s="103">
        <f t="shared" si="41"/>
        <v>0</v>
      </c>
      <c r="R131" s="103">
        <f t="shared" si="35"/>
        <v>0</v>
      </c>
      <c r="S131" s="103">
        <f t="shared" si="36"/>
        <v>0</v>
      </c>
      <c r="T131" s="103">
        <f t="shared" si="37"/>
        <v>0</v>
      </c>
      <c r="U131" s="96" t="s">
        <v>67</v>
      </c>
      <c r="V131" s="96" t="str">
        <f t="shared" si="32"/>
        <v>-</v>
      </c>
      <c r="W131" s="96" t="str">
        <f t="shared" si="38"/>
        <v>-</v>
      </c>
      <c r="X131" s="96" t="str">
        <f t="shared" si="39"/>
        <v>-</v>
      </c>
      <c r="Y131" s="107" t="str">
        <f t="shared" si="33"/>
        <v/>
      </c>
      <c r="Z131" s="71"/>
    </row>
    <row r="132" spans="1:26" x14ac:dyDescent="0.2">
      <c r="A132" s="108">
        <v>105</v>
      </c>
      <c r="B132" s="132">
        <f t="shared" si="42"/>
        <v>0</v>
      </c>
      <c r="C132" s="104">
        <f t="shared" si="40"/>
        <v>0</v>
      </c>
      <c r="D132" s="132">
        <f t="shared" si="25"/>
        <v>0</v>
      </c>
      <c r="E132" s="132">
        <f t="shared" si="26"/>
        <v>0</v>
      </c>
      <c r="F132" s="132">
        <f t="shared" si="27"/>
        <v>0</v>
      </c>
      <c r="G132" s="114">
        <f>IF(SUM(K$27:K131)&gt;0,0,IF(Y132&lt;&gt;"-",$B$3,0))</f>
        <v>0</v>
      </c>
      <c r="H132" s="114">
        <f t="shared" si="28"/>
        <v>0</v>
      </c>
      <c r="I132" s="105">
        <f t="shared" si="34"/>
        <v>0</v>
      </c>
      <c r="J132" s="105">
        <f t="shared" si="29"/>
        <v>0</v>
      </c>
      <c r="K132" s="132">
        <f t="shared" si="43"/>
        <v>0</v>
      </c>
      <c r="L132" s="133">
        <f t="shared" si="44"/>
        <v>0</v>
      </c>
      <c r="M132" s="132">
        <f>IF(SUM(K$28:K132)&gt;0,MIN(O131*(1+B$9)^(1/12),G$25-G132+K132),0)</f>
        <v>0</v>
      </c>
      <c r="N132" s="132">
        <f t="shared" si="30"/>
        <v>0</v>
      </c>
      <c r="O132" s="133">
        <f t="shared" si="31"/>
        <v>0</v>
      </c>
      <c r="P132" s="103">
        <f>SUM(N$27:N132)</f>
        <v>0</v>
      </c>
      <c r="Q132" s="103">
        <f t="shared" si="41"/>
        <v>0</v>
      </c>
      <c r="R132" s="103">
        <f t="shared" si="35"/>
        <v>0</v>
      </c>
      <c r="S132" s="103">
        <f t="shared" si="36"/>
        <v>0</v>
      </c>
      <c r="T132" s="103">
        <f t="shared" si="37"/>
        <v>0</v>
      </c>
      <c r="U132" s="96" t="s">
        <v>67</v>
      </c>
      <c r="V132" s="96" t="str">
        <f t="shared" si="32"/>
        <v>q</v>
      </c>
      <c r="W132" s="96" t="str">
        <f t="shared" si="38"/>
        <v>-</v>
      </c>
      <c r="X132" s="96" t="str">
        <f t="shared" si="39"/>
        <v>-</v>
      </c>
      <c r="Y132" s="107" t="str">
        <f t="shared" si="33"/>
        <v/>
      </c>
      <c r="Z132" s="71"/>
    </row>
    <row r="133" spans="1:26" x14ac:dyDescent="0.2">
      <c r="A133" s="108">
        <v>106</v>
      </c>
      <c r="B133" s="132">
        <f t="shared" si="42"/>
        <v>0</v>
      </c>
      <c r="C133" s="104">
        <f t="shared" si="40"/>
        <v>0</v>
      </c>
      <c r="D133" s="132">
        <f t="shared" si="25"/>
        <v>0</v>
      </c>
      <c r="E133" s="132">
        <f t="shared" si="26"/>
        <v>0</v>
      </c>
      <c r="F133" s="132">
        <f t="shared" si="27"/>
        <v>0</v>
      </c>
      <c r="G133" s="114">
        <f>IF(SUM(K$27:K132)&gt;0,0,IF(Y133&lt;&gt;"-",$B$3,0))</f>
        <v>0</v>
      </c>
      <c r="H133" s="114">
        <f t="shared" si="28"/>
        <v>0</v>
      </c>
      <c r="I133" s="105">
        <f t="shared" si="34"/>
        <v>0</v>
      </c>
      <c r="J133" s="105">
        <f t="shared" si="29"/>
        <v>0</v>
      </c>
      <c r="K133" s="134">
        <f t="shared" si="43"/>
        <v>0</v>
      </c>
      <c r="L133" s="135">
        <f t="shared" si="44"/>
        <v>0</v>
      </c>
      <c r="M133" s="134">
        <f>IF(SUM(K$28:K133)&gt;0,MIN(O132*(1+B$9)^(1/12),G$25-G133+K133),0)</f>
        <v>0</v>
      </c>
      <c r="N133" s="132">
        <f t="shared" si="30"/>
        <v>0</v>
      </c>
      <c r="O133" s="133">
        <f t="shared" si="31"/>
        <v>0</v>
      </c>
      <c r="P133" s="103">
        <f>SUM(N$27:N133)</f>
        <v>0</v>
      </c>
      <c r="Q133" s="103">
        <f t="shared" si="41"/>
        <v>0</v>
      </c>
      <c r="R133" s="103">
        <f t="shared" si="35"/>
        <v>0</v>
      </c>
      <c r="S133" s="103">
        <f t="shared" si="36"/>
        <v>0</v>
      </c>
      <c r="T133" s="103">
        <f t="shared" si="37"/>
        <v>0</v>
      </c>
      <c r="U133" s="96" t="s">
        <v>67</v>
      </c>
      <c r="V133" s="96" t="str">
        <f t="shared" si="32"/>
        <v>-</v>
      </c>
      <c r="W133" s="96" t="str">
        <f t="shared" si="38"/>
        <v>-</v>
      </c>
      <c r="X133" s="96" t="str">
        <f t="shared" si="39"/>
        <v>-</v>
      </c>
      <c r="Y133" s="107" t="str">
        <f t="shared" si="33"/>
        <v/>
      </c>
      <c r="Z133" s="71"/>
    </row>
    <row r="134" spans="1:26" x14ac:dyDescent="0.2">
      <c r="A134" s="108">
        <v>107</v>
      </c>
      <c r="B134" s="132">
        <f t="shared" si="42"/>
        <v>0</v>
      </c>
      <c r="C134" s="104">
        <f t="shared" si="40"/>
        <v>0</v>
      </c>
      <c r="D134" s="132">
        <f t="shared" si="25"/>
        <v>0</v>
      </c>
      <c r="E134" s="132">
        <f t="shared" si="26"/>
        <v>0</v>
      </c>
      <c r="F134" s="132">
        <f t="shared" si="27"/>
        <v>0</v>
      </c>
      <c r="G134" s="114">
        <f>IF(SUM(K$27:K133)&gt;0,0,IF(Y134&lt;&gt;"-",$B$3,0))</f>
        <v>0</v>
      </c>
      <c r="H134" s="114">
        <f t="shared" si="28"/>
        <v>0</v>
      </c>
      <c r="I134" s="105">
        <f t="shared" si="34"/>
        <v>0</v>
      </c>
      <c r="J134" s="105">
        <f t="shared" si="29"/>
        <v>0</v>
      </c>
      <c r="K134" s="132">
        <f t="shared" si="43"/>
        <v>0</v>
      </c>
      <c r="L134" s="133">
        <f t="shared" si="44"/>
        <v>0</v>
      </c>
      <c r="M134" s="132">
        <f>IF(SUM(K$28:K134)&gt;0,MIN(O133*(1+B$9)^(1/12),G$25-G134+K134),0)</f>
        <v>0</v>
      </c>
      <c r="N134" s="132">
        <f t="shared" si="30"/>
        <v>0</v>
      </c>
      <c r="O134" s="133">
        <f t="shared" si="31"/>
        <v>0</v>
      </c>
      <c r="P134" s="103">
        <f>SUM(N$27:N134)</f>
        <v>0</v>
      </c>
      <c r="Q134" s="103">
        <f t="shared" si="41"/>
        <v>0</v>
      </c>
      <c r="R134" s="103">
        <f t="shared" si="35"/>
        <v>0</v>
      </c>
      <c r="S134" s="103">
        <f t="shared" si="36"/>
        <v>0</v>
      </c>
      <c r="T134" s="103">
        <f t="shared" si="37"/>
        <v>0</v>
      </c>
      <c r="U134" s="96" t="s">
        <v>67</v>
      </c>
      <c r="V134" s="96" t="str">
        <f t="shared" si="32"/>
        <v>-</v>
      </c>
      <c r="W134" s="96" t="str">
        <f t="shared" si="38"/>
        <v>-</v>
      </c>
      <c r="X134" s="96" t="str">
        <f t="shared" si="39"/>
        <v>-</v>
      </c>
      <c r="Y134" s="107" t="str">
        <f t="shared" si="33"/>
        <v/>
      </c>
      <c r="Z134" s="71"/>
    </row>
    <row r="135" spans="1:26" x14ac:dyDescent="0.2">
      <c r="A135" s="110">
        <v>108</v>
      </c>
      <c r="B135" s="111">
        <f t="shared" si="42"/>
        <v>0</v>
      </c>
      <c r="C135" s="111">
        <f t="shared" si="40"/>
        <v>0</v>
      </c>
      <c r="D135" s="111">
        <f t="shared" si="25"/>
        <v>0</v>
      </c>
      <c r="E135" s="111">
        <f t="shared" si="26"/>
        <v>0</v>
      </c>
      <c r="F135" s="111">
        <f t="shared" si="27"/>
        <v>0</v>
      </c>
      <c r="G135" s="112">
        <f>IF(SUM(K$27:K134)&gt;0,0,IF(Y135&lt;&gt;"-",$B$3,0))</f>
        <v>0</v>
      </c>
      <c r="H135" s="112">
        <f t="shared" si="28"/>
        <v>0</v>
      </c>
      <c r="I135" s="112">
        <f t="shared" si="34"/>
        <v>0</v>
      </c>
      <c r="J135" s="112">
        <f t="shared" si="29"/>
        <v>0</v>
      </c>
      <c r="K135" s="111">
        <f t="shared" si="43"/>
        <v>0</v>
      </c>
      <c r="L135" s="113">
        <f t="shared" si="44"/>
        <v>0</v>
      </c>
      <c r="M135" s="111">
        <f>IF(SUM(K$28:K135)&gt;0,MIN(O134*(1+B$9)^(1/12),G$25-G135+K135),0)</f>
        <v>0</v>
      </c>
      <c r="N135" s="111">
        <f t="shared" si="30"/>
        <v>0</v>
      </c>
      <c r="O135" s="113">
        <f t="shared" si="31"/>
        <v>0</v>
      </c>
      <c r="P135" s="111">
        <f>SUM(N$27:N135)</f>
        <v>0</v>
      </c>
      <c r="Q135" s="111">
        <f t="shared" si="41"/>
        <v>0</v>
      </c>
      <c r="R135" s="111">
        <f t="shared" si="35"/>
        <v>0</v>
      </c>
      <c r="S135" s="111">
        <f t="shared" si="36"/>
        <v>0</v>
      </c>
      <c r="T135" s="111">
        <f t="shared" si="37"/>
        <v>0</v>
      </c>
      <c r="U135" s="101" t="s">
        <v>67</v>
      </c>
      <c r="V135" s="101" t="str">
        <f t="shared" si="32"/>
        <v>q</v>
      </c>
      <c r="W135" s="101" t="str">
        <f t="shared" si="38"/>
        <v>s</v>
      </c>
      <c r="X135" s="101" t="str">
        <f t="shared" si="39"/>
        <v>a</v>
      </c>
      <c r="Y135" s="107" t="str">
        <f t="shared" si="33"/>
        <v/>
      </c>
      <c r="Z135" s="71"/>
    </row>
    <row r="136" spans="1:26" x14ac:dyDescent="0.2">
      <c r="A136" s="108">
        <v>109</v>
      </c>
      <c r="B136" s="132">
        <f t="shared" si="42"/>
        <v>0</v>
      </c>
      <c r="C136" s="104">
        <f t="shared" si="40"/>
        <v>0</v>
      </c>
      <c r="D136" s="132">
        <f t="shared" si="25"/>
        <v>0</v>
      </c>
      <c r="E136" s="132">
        <f t="shared" si="26"/>
        <v>0</v>
      </c>
      <c r="F136" s="132">
        <f t="shared" si="27"/>
        <v>0</v>
      </c>
      <c r="G136" s="114">
        <f>IF(SUM(K$27:K135)&gt;0,0,IF(Y136&lt;&gt;"-",$B$3,0))</f>
        <v>0</v>
      </c>
      <c r="H136" s="114">
        <f t="shared" si="28"/>
        <v>0</v>
      </c>
      <c r="I136" s="105">
        <f t="shared" si="34"/>
        <v>0</v>
      </c>
      <c r="J136" s="105">
        <f t="shared" si="29"/>
        <v>0</v>
      </c>
      <c r="K136" s="132">
        <f t="shared" si="43"/>
        <v>0</v>
      </c>
      <c r="L136" s="133">
        <f t="shared" si="44"/>
        <v>0</v>
      </c>
      <c r="M136" s="132">
        <f>IF(SUM(K$28:K136)&gt;0,MIN(O135*(1+B$9)^(1/12),G$25-G136+K136),0)</f>
        <v>0</v>
      </c>
      <c r="N136" s="132">
        <f t="shared" si="30"/>
        <v>0</v>
      </c>
      <c r="O136" s="133">
        <f t="shared" si="31"/>
        <v>0</v>
      </c>
      <c r="P136" s="103">
        <f>SUM(N$27:N136)</f>
        <v>0</v>
      </c>
      <c r="Q136" s="103">
        <f t="shared" si="41"/>
        <v>0</v>
      </c>
      <c r="R136" s="103">
        <f t="shared" si="35"/>
        <v>0</v>
      </c>
      <c r="S136" s="103">
        <f t="shared" si="36"/>
        <v>0</v>
      </c>
      <c r="T136" s="103">
        <f t="shared" si="37"/>
        <v>0</v>
      </c>
      <c r="U136" s="96" t="s">
        <v>67</v>
      </c>
      <c r="V136" s="96" t="str">
        <f t="shared" si="32"/>
        <v>-</v>
      </c>
      <c r="W136" s="96" t="str">
        <f t="shared" si="38"/>
        <v>-</v>
      </c>
      <c r="X136" s="96" t="str">
        <f t="shared" si="39"/>
        <v>-</v>
      </c>
      <c r="Y136" s="107" t="str">
        <f t="shared" si="33"/>
        <v/>
      </c>
      <c r="Z136" s="71"/>
    </row>
    <row r="137" spans="1:26" x14ac:dyDescent="0.2">
      <c r="A137" s="108">
        <v>110</v>
      </c>
      <c r="B137" s="132">
        <f t="shared" si="42"/>
        <v>0</v>
      </c>
      <c r="C137" s="104">
        <f t="shared" si="40"/>
        <v>0</v>
      </c>
      <c r="D137" s="132">
        <f t="shared" si="25"/>
        <v>0</v>
      </c>
      <c r="E137" s="132">
        <f t="shared" si="26"/>
        <v>0</v>
      </c>
      <c r="F137" s="132">
        <f t="shared" si="27"/>
        <v>0</v>
      </c>
      <c r="G137" s="114">
        <f>IF(SUM(K$27:K136)&gt;0,0,IF(Y137&lt;&gt;"-",$B$3,0))</f>
        <v>0</v>
      </c>
      <c r="H137" s="114">
        <f t="shared" si="28"/>
        <v>0</v>
      </c>
      <c r="I137" s="105">
        <f t="shared" si="34"/>
        <v>0</v>
      </c>
      <c r="J137" s="105">
        <f t="shared" si="29"/>
        <v>0</v>
      </c>
      <c r="K137" s="132">
        <f t="shared" si="43"/>
        <v>0</v>
      </c>
      <c r="L137" s="133">
        <f t="shared" si="44"/>
        <v>0</v>
      </c>
      <c r="M137" s="132">
        <f>IF(SUM(K$28:K137)&gt;0,MIN(O136*(1+B$9)^(1/12),G$25-G137+K137),0)</f>
        <v>0</v>
      </c>
      <c r="N137" s="132">
        <f t="shared" si="30"/>
        <v>0</v>
      </c>
      <c r="O137" s="133">
        <f t="shared" si="31"/>
        <v>0</v>
      </c>
      <c r="P137" s="103">
        <f>SUM(N$27:N137)</f>
        <v>0</v>
      </c>
      <c r="Q137" s="103">
        <f t="shared" si="41"/>
        <v>0</v>
      </c>
      <c r="R137" s="103">
        <f t="shared" si="35"/>
        <v>0</v>
      </c>
      <c r="S137" s="103">
        <f t="shared" si="36"/>
        <v>0</v>
      </c>
      <c r="T137" s="103">
        <f t="shared" si="37"/>
        <v>0</v>
      </c>
      <c r="U137" s="96" t="s">
        <v>67</v>
      </c>
      <c r="V137" s="96" t="str">
        <f t="shared" si="32"/>
        <v>-</v>
      </c>
      <c r="W137" s="96" t="str">
        <f t="shared" si="38"/>
        <v>-</v>
      </c>
      <c r="X137" s="96" t="str">
        <f t="shared" si="39"/>
        <v>-</v>
      </c>
      <c r="Y137" s="107" t="str">
        <f t="shared" si="33"/>
        <v/>
      </c>
      <c r="Z137" s="71"/>
    </row>
    <row r="138" spans="1:26" x14ac:dyDescent="0.2">
      <c r="A138" s="108">
        <v>111</v>
      </c>
      <c r="B138" s="132">
        <f t="shared" si="42"/>
        <v>0</v>
      </c>
      <c r="C138" s="104">
        <f t="shared" si="40"/>
        <v>0</v>
      </c>
      <c r="D138" s="132">
        <f t="shared" si="25"/>
        <v>0</v>
      </c>
      <c r="E138" s="132">
        <f t="shared" si="26"/>
        <v>0</v>
      </c>
      <c r="F138" s="132">
        <f t="shared" si="27"/>
        <v>0</v>
      </c>
      <c r="G138" s="114">
        <f>IF(SUM(K$27:K137)&gt;0,0,IF(Y138&lt;&gt;"-",$B$3,0))</f>
        <v>0</v>
      </c>
      <c r="H138" s="114">
        <f t="shared" si="28"/>
        <v>0</v>
      </c>
      <c r="I138" s="105">
        <f t="shared" si="34"/>
        <v>0</v>
      </c>
      <c r="J138" s="105">
        <f t="shared" si="29"/>
        <v>0</v>
      </c>
      <c r="K138" s="132">
        <f t="shared" si="43"/>
        <v>0</v>
      </c>
      <c r="L138" s="133">
        <f t="shared" si="44"/>
        <v>0</v>
      </c>
      <c r="M138" s="132">
        <f>IF(SUM(K$28:K138)&gt;0,MIN(O137*(1+B$9)^(1/12),G$25-G138+K138),0)</f>
        <v>0</v>
      </c>
      <c r="N138" s="132">
        <f t="shared" si="30"/>
        <v>0</v>
      </c>
      <c r="O138" s="133">
        <f t="shared" si="31"/>
        <v>0</v>
      </c>
      <c r="P138" s="103">
        <f>SUM(N$27:N138)</f>
        <v>0</v>
      </c>
      <c r="Q138" s="103">
        <f t="shared" si="41"/>
        <v>0</v>
      </c>
      <c r="R138" s="103">
        <f t="shared" si="35"/>
        <v>0</v>
      </c>
      <c r="S138" s="103">
        <f t="shared" si="36"/>
        <v>0</v>
      </c>
      <c r="T138" s="103">
        <f t="shared" si="37"/>
        <v>0</v>
      </c>
      <c r="U138" s="96" t="s">
        <v>67</v>
      </c>
      <c r="V138" s="96" t="str">
        <f t="shared" si="32"/>
        <v>q</v>
      </c>
      <c r="W138" s="96" t="str">
        <f t="shared" si="38"/>
        <v>-</v>
      </c>
      <c r="X138" s="96" t="str">
        <f t="shared" si="39"/>
        <v>-</v>
      </c>
      <c r="Y138" s="107" t="str">
        <f t="shared" si="33"/>
        <v/>
      </c>
      <c r="Z138" s="71"/>
    </row>
    <row r="139" spans="1:26" x14ac:dyDescent="0.2">
      <c r="A139" s="108">
        <v>112</v>
      </c>
      <c r="B139" s="132">
        <f t="shared" si="42"/>
        <v>0</v>
      </c>
      <c r="C139" s="104">
        <f t="shared" si="40"/>
        <v>0</v>
      </c>
      <c r="D139" s="132">
        <f t="shared" si="25"/>
        <v>0</v>
      </c>
      <c r="E139" s="132">
        <f t="shared" si="26"/>
        <v>0</v>
      </c>
      <c r="F139" s="132">
        <f t="shared" si="27"/>
        <v>0</v>
      </c>
      <c r="G139" s="114">
        <f>IF(SUM(K$27:K138)&gt;0,0,IF(Y139&lt;&gt;"-",$B$3,0))</f>
        <v>0</v>
      </c>
      <c r="H139" s="114">
        <f t="shared" si="28"/>
        <v>0</v>
      </c>
      <c r="I139" s="105">
        <f t="shared" si="34"/>
        <v>0</v>
      </c>
      <c r="J139" s="105">
        <f t="shared" si="29"/>
        <v>0</v>
      </c>
      <c r="K139" s="132">
        <f t="shared" si="43"/>
        <v>0</v>
      </c>
      <c r="L139" s="133">
        <f t="shared" si="44"/>
        <v>0</v>
      </c>
      <c r="M139" s="132">
        <f>IF(SUM(K$28:K139)&gt;0,MIN(O138*(1+B$9)^(1/12),G$25-G139+K139),0)</f>
        <v>0</v>
      </c>
      <c r="N139" s="132">
        <f t="shared" si="30"/>
        <v>0</v>
      </c>
      <c r="O139" s="133">
        <f t="shared" si="31"/>
        <v>0</v>
      </c>
      <c r="P139" s="103">
        <f>SUM(N$27:N139)</f>
        <v>0</v>
      </c>
      <c r="Q139" s="103">
        <f t="shared" si="41"/>
        <v>0</v>
      </c>
      <c r="R139" s="103">
        <f t="shared" si="35"/>
        <v>0</v>
      </c>
      <c r="S139" s="103">
        <f t="shared" si="36"/>
        <v>0</v>
      </c>
      <c r="T139" s="103">
        <f t="shared" si="37"/>
        <v>0</v>
      </c>
      <c r="U139" s="96" t="s">
        <v>67</v>
      </c>
      <c r="V139" s="96" t="str">
        <f t="shared" si="32"/>
        <v>-</v>
      </c>
      <c r="W139" s="96" t="str">
        <f t="shared" si="38"/>
        <v>-</v>
      </c>
      <c r="X139" s="96" t="str">
        <f t="shared" si="39"/>
        <v>-</v>
      </c>
      <c r="Y139" s="107" t="str">
        <f t="shared" si="33"/>
        <v/>
      </c>
      <c r="Z139" s="71"/>
    </row>
    <row r="140" spans="1:26" x14ac:dyDescent="0.2">
      <c r="A140" s="108">
        <v>113</v>
      </c>
      <c r="B140" s="132">
        <f t="shared" si="42"/>
        <v>0</v>
      </c>
      <c r="C140" s="104">
        <f t="shared" si="40"/>
        <v>0</v>
      </c>
      <c r="D140" s="132">
        <f t="shared" si="25"/>
        <v>0</v>
      </c>
      <c r="E140" s="132">
        <f t="shared" si="26"/>
        <v>0</v>
      </c>
      <c r="F140" s="132">
        <f t="shared" si="27"/>
        <v>0</v>
      </c>
      <c r="G140" s="114">
        <f>IF(SUM(K$27:K139)&gt;0,0,IF(Y140&lt;&gt;"-",$B$3,0))</f>
        <v>0</v>
      </c>
      <c r="H140" s="114">
        <f t="shared" si="28"/>
        <v>0</v>
      </c>
      <c r="I140" s="105">
        <f t="shared" si="34"/>
        <v>0</v>
      </c>
      <c r="J140" s="105">
        <f t="shared" si="29"/>
        <v>0</v>
      </c>
      <c r="K140" s="132">
        <f t="shared" si="43"/>
        <v>0</v>
      </c>
      <c r="L140" s="133">
        <f t="shared" si="44"/>
        <v>0</v>
      </c>
      <c r="M140" s="132">
        <f>IF(SUM(K$28:K140)&gt;0,MIN(O139*(1+B$9)^(1/12),G$25-G140+K140),0)</f>
        <v>0</v>
      </c>
      <c r="N140" s="132">
        <f t="shared" si="30"/>
        <v>0</v>
      </c>
      <c r="O140" s="133">
        <f t="shared" si="31"/>
        <v>0</v>
      </c>
      <c r="P140" s="103">
        <f>SUM(N$27:N140)</f>
        <v>0</v>
      </c>
      <c r="Q140" s="103">
        <f t="shared" si="41"/>
        <v>0</v>
      </c>
      <c r="R140" s="103">
        <f t="shared" si="35"/>
        <v>0</v>
      </c>
      <c r="S140" s="103">
        <f t="shared" si="36"/>
        <v>0</v>
      </c>
      <c r="T140" s="103">
        <f t="shared" si="37"/>
        <v>0</v>
      </c>
      <c r="U140" s="96" t="s">
        <v>67</v>
      </c>
      <c r="V140" s="96" t="str">
        <f t="shared" si="32"/>
        <v>-</v>
      </c>
      <c r="W140" s="96" t="str">
        <f t="shared" si="38"/>
        <v>-</v>
      </c>
      <c r="X140" s="96" t="str">
        <f t="shared" si="39"/>
        <v>-</v>
      </c>
      <c r="Y140" s="107" t="str">
        <f t="shared" si="33"/>
        <v/>
      </c>
      <c r="Z140" s="71"/>
    </row>
    <row r="141" spans="1:26" x14ac:dyDescent="0.2">
      <c r="A141" s="108">
        <v>114</v>
      </c>
      <c r="B141" s="132">
        <f t="shared" si="42"/>
        <v>0</v>
      </c>
      <c r="C141" s="104">
        <f t="shared" si="40"/>
        <v>0</v>
      </c>
      <c r="D141" s="132">
        <f t="shared" si="25"/>
        <v>0</v>
      </c>
      <c r="E141" s="132">
        <f t="shared" si="26"/>
        <v>0</v>
      </c>
      <c r="F141" s="132">
        <f t="shared" si="27"/>
        <v>0</v>
      </c>
      <c r="G141" s="114">
        <f>IF(SUM(K$27:K140)&gt;0,0,IF(Y141&lt;&gt;"-",$B$3,0))</f>
        <v>0</v>
      </c>
      <c r="H141" s="114">
        <f t="shared" si="28"/>
        <v>0</v>
      </c>
      <c r="I141" s="105">
        <f t="shared" si="34"/>
        <v>0</v>
      </c>
      <c r="J141" s="105">
        <f t="shared" si="29"/>
        <v>0</v>
      </c>
      <c r="K141" s="132">
        <f t="shared" si="43"/>
        <v>0</v>
      </c>
      <c r="L141" s="133">
        <f t="shared" si="44"/>
        <v>0</v>
      </c>
      <c r="M141" s="132">
        <f>IF(SUM(K$28:K141)&gt;0,MIN(O140*(1+B$9)^(1/12),G$25-G141+K141),0)</f>
        <v>0</v>
      </c>
      <c r="N141" s="132">
        <f t="shared" si="30"/>
        <v>0</v>
      </c>
      <c r="O141" s="133">
        <f t="shared" si="31"/>
        <v>0</v>
      </c>
      <c r="P141" s="103">
        <f>SUM(N$27:N141)</f>
        <v>0</v>
      </c>
      <c r="Q141" s="103">
        <f t="shared" si="41"/>
        <v>0</v>
      </c>
      <c r="R141" s="103">
        <f t="shared" si="35"/>
        <v>0</v>
      </c>
      <c r="S141" s="103">
        <f t="shared" si="36"/>
        <v>0</v>
      </c>
      <c r="T141" s="103">
        <f t="shared" si="37"/>
        <v>0</v>
      </c>
      <c r="U141" s="96" t="s">
        <v>67</v>
      </c>
      <c r="V141" s="96" t="str">
        <f t="shared" si="32"/>
        <v>q</v>
      </c>
      <c r="W141" s="96" t="str">
        <f t="shared" si="38"/>
        <v>s</v>
      </c>
      <c r="X141" s="96" t="str">
        <f t="shared" si="39"/>
        <v>-</v>
      </c>
      <c r="Y141" s="107" t="str">
        <f t="shared" si="33"/>
        <v/>
      </c>
      <c r="Z141" s="71"/>
    </row>
    <row r="142" spans="1:26" x14ac:dyDescent="0.2">
      <c r="A142" s="108">
        <v>115</v>
      </c>
      <c r="B142" s="132">
        <f t="shared" si="42"/>
        <v>0</v>
      </c>
      <c r="C142" s="104">
        <f t="shared" si="40"/>
        <v>0</v>
      </c>
      <c r="D142" s="132">
        <f t="shared" si="25"/>
        <v>0</v>
      </c>
      <c r="E142" s="132">
        <f t="shared" si="26"/>
        <v>0</v>
      </c>
      <c r="F142" s="132">
        <f t="shared" si="27"/>
        <v>0</v>
      </c>
      <c r="G142" s="114">
        <f>IF(SUM(K$27:K141)&gt;0,0,IF(Y142&lt;&gt;"-",$B$3,0))</f>
        <v>0</v>
      </c>
      <c r="H142" s="114">
        <f t="shared" si="28"/>
        <v>0</v>
      </c>
      <c r="I142" s="105">
        <f t="shared" si="34"/>
        <v>0</v>
      </c>
      <c r="J142" s="105">
        <f t="shared" si="29"/>
        <v>0</v>
      </c>
      <c r="K142" s="132">
        <f t="shared" si="43"/>
        <v>0</v>
      </c>
      <c r="L142" s="133">
        <f t="shared" si="44"/>
        <v>0</v>
      </c>
      <c r="M142" s="132">
        <f>IF(SUM(K$28:K142)&gt;0,MIN(O141*(1+B$9)^(1/12),G$25-G142+K142),0)</f>
        <v>0</v>
      </c>
      <c r="N142" s="132">
        <f t="shared" si="30"/>
        <v>0</v>
      </c>
      <c r="O142" s="133">
        <f t="shared" si="31"/>
        <v>0</v>
      </c>
      <c r="P142" s="103">
        <f>SUM(N$27:N142)</f>
        <v>0</v>
      </c>
      <c r="Q142" s="103">
        <f t="shared" si="41"/>
        <v>0</v>
      </c>
      <c r="R142" s="103">
        <f t="shared" si="35"/>
        <v>0</v>
      </c>
      <c r="S142" s="103">
        <f t="shared" si="36"/>
        <v>0</v>
      </c>
      <c r="T142" s="103">
        <f t="shared" si="37"/>
        <v>0</v>
      </c>
      <c r="U142" s="96" t="s">
        <v>67</v>
      </c>
      <c r="V142" s="96" t="str">
        <f t="shared" si="32"/>
        <v>-</v>
      </c>
      <c r="W142" s="96" t="str">
        <f t="shared" si="38"/>
        <v>-</v>
      </c>
      <c r="X142" s="96" t="str">
        <f t="shared" si="39"/>
        <v>-</v>
      </c>
      <c r="Y142" s="107" t="str">
        <f t="shared" si="33"/>
        <v/>
      </c>
      <c r="Z142" s="71"/>
    </row>
    <row r="143" spans="1:26" x14ac:dyDescent="0.2">
      <c r="A143" s="108">
        <v>116</v>
      </c>
      <c r="B143" s="132">
        <f t="shared" si="42"/>
        <v>0</v>
      </c>
      <c r="C143" s="104">
        <f t="shared" si="40"/>
        <v>0</v>
      </c>
      <c r="D143" s="132">
        <f t="shared" si="25"/>
        <v>0</v>
      </c>
      <c r="E143" s="132">
        <f t="shared" si="26"/>
        <v>0</v>
      </c>
      <c r="F143" s="132">
        <f t="shared" si="27"/>
        <v>0</v>
      </c>
      <c r="G143" s="114">
        <f>IF(SUM(K$27:K142)&gt;0,0,IF(Y143&lt;&gt;"-",$B$3,0))</f>
        <v>0</v>
      </c>
      <c r="H143" s="114">
        <f t="shared" si="28"/>
        <v>0</v>
      </c>
      <c r="I143" s="105">
        <f t="shared" si="34"/>
        <v>0</v>
      </c>
      <c r="J143" s="105">
        <f t="shared" si="29"/>
        <v>0</v>
      </c>
      <c r="K143" s="132">
        <f t="shared" si="43"/>
        <v>0</v>
      </c>
      <c r="L143" s="133">
        <f t="shared" si="44"/>
        <v>0</v>
      </c>
      <c r="M143" s="132">
        <f>IF(SUM(K$28:K143)&gt;0,MIN(O142*(1+B$9)^(1/12),G$25-G143+K143),0)</f>
        <v>0</v>
      </c>
      <c r="N143" s="132">
        <f t="shared" si="30"/>
        <v>0</v>
      </c>
      <c r="O143" s="133">
        <f t="shared" si="31"/>
        <v>0</v>
      </c>
      <c r="P143" s="103">
        <f>SUM(N$27:N143)</f>
        <v>0</v>
      </c>
      <c r="Q143" s="103">
        <f t="shared" si="41"/>
        <v>0</v>
      </c>
      <c r="R143" s="103">
        <f>R142+G143</f>
        <v>0</v>
      </c>
      <c r="S143" s="103">
        <f t="shared" si="36"/>
        <v>0</v>
      </c>
      <c r="T143" s="103">
        <f t="shared" si="37"/>
        <v>0</v>
      </c>
      <c r="U143" s="96" t="s">
        <v>67</v>
      </c>
      <c r="V143" s="96" t="str">
        <f t="shared" si="32"/>
        <v>-</v>
      </c>
      <c r="W143" s="96" t="str">
        <f t="shared" si="38"/>
        <v>-</v>
      </c>
      <c r="X143" s="96" t="str">
        <f t="shared" si="39"/>
        <v>-</v>
      </c>
      <c r="Y143" s="107" t="str">
        <f t="shared" si="33"/>
        <v/>
      </c>
      <c r="Z143" s="71"/>
    </row>
    <row r="144" spans="1:26" x14ac:dyDescent="0.2">
      <c r="A144" s="108">
        <v>117</v>
      </c>
      <c r="B144" s="132">
        <f t="shared" si="42"/>
        <v>0</v>
      </c>
      <c r="C144" s="104">
        <f t="shared" si="40"/>
        <v>0</v>
      </c>
      <c r="D144" s="132">
        <f t="shared" si="25"/>
        <v>0</v>
      </c>
      <c r="E144" s="132">
        <f t="shared" si="26"/>
        <v>0</v>
      </c>
      <c r="F144" s="132">
        <f t="shared" si="27"/>
        <v>0</v>
      </c>
      <c r="G144" s="114">
        <f>IF(SUM(K$27:K143)&gt;0,0,IF(Y144&lt;&gt;"-",$B$3,0))</f>
        <v>0</v>
      </c>
      <c r="H144" s="114">
        <f t="shared" si="28"/>
        <v>0</v>
      </c>
      <c r="I144" s="105">
        <f t="shared" si="34"/>
        <v>0</v>
      </c>
      <c r="J144" s="105">
        <f t="shared" si="29"/>
        <v>0</v>
      </c>
      <c r="K144" s="132">
        <f t="shared" si="43"/>
        <v>0</v>
      </c>
      <c r="L144" s="133">
        <f t="shared" si="44"/>
        <v>0</v>
      </c>
      <c r="M144" s="132">
        <f>IF(SUM(K$28:K144)&gt;0,MIN(O143*(1+B$9)^(1/12),G$25-G144+K144),0)</f>
        <v>0</v>
      </c>
      <c r="N144" s="132">
        <f t="shared" si="30"/>
        <v>0</v>
      </c>
      <c r="O144" s="133">
        <f t="shared" si="31"/>
        <v>0</v>
      </c>
      <c r="P144" s="103">
        <f>SUM(N$27:N144)</f>
        <v>0</v>
      </c>
      <c r="Q144" s="103">
        <f t="shared" si="41"/>
        <v>0</v>
      </c>
      <c r="R144" s="103">
        <f t="shared" si="35"/>
        <v>0</v>
      </c>
      <c r="S144" s="103">
        <f t="shared" si="36"/>
        <v>0</v>
      </c>
      <c r="T144" s="103">
        <f t="shared" si="37"/>
        <v>0</v>
      </c>
      <c r="U144" s="96" t="s">
        <v>67</v>
      </c>
      <c r="V144" s="96" t="str">
        <f t="shared" si="32"/>
        <v>q</v>
      </c>
      <c r="W144" s="96" t="str">
        <f t="shared" si="38"/>
        <v>-</v>
      </c>
      <c r="X144" s="96" t="str">
        <f t="shared" si="39"/>
        <v>-</v>
      </c>
      <c r="Y144" s="107" t="str">
        <f t="shared" si="33"/>
        <v/>
      </c>
      <c r="Z144" s="71"/>
    </row>
    <row r="145" spans="1:26" x14ac:dyDescent="0.2">
      <c r="A145" s="108">
        <v>118</v>
      </c>
      <c r="B145" s="132">
        <f t="shared" si="42"/>
        <v>0</v>
      </c>
      <c r="C145" s="104">
        <f t="shared" si="40"/>
        <v>0</v>
      </c>
      <c r="D145" s="132">
        <f t="shared" si="25"/>
        <v>0</v>
      </c>
      <c r="E145" s="132">
        <f t="shared" si="26"/>
        <v>0</v>
      </c>
      <c r="F145" s="132">
        <f t="shared" si="27"/>
        <v>0</v>
      </c>
      <c r="G145" s="114">
        <f>IF(SUM(K$27:K144)&gt;0,0,IF(Y145&lt;&gt;"-",$B$3,0))</f>
        <v>0</v>
      </c>
      <c r="H145" s="114">
        <f t="shared" si="28"/>
        <v>0</v>
      </c>
      <c r="I145" s="105">
        <f t="shared" si="34"/>
        <v>0</v>
      </c>
      <c r="J145" s="105">
        <f t="shared" si="29"/>
        <v>0</v>
      </c>
      <c r="K145" s="132">
        <f t="shared" si="43"/>
        <v>0</v>
      </c>
      <c r="L145" s="133">
        <f t="shared" si="44"/>
        <v>0</v>
      </c>
      <c r="M145" s="132">
        <f>IF(SUM(K$28:K145)&gt;0,MIN(O144*(1+B$9)^(1/12),G$25-G145+K145),0)</f>
        <v>0</v>
      </c>
      <c r="N145" s="132">
        <f t="shared" si="30"/>
        <v>0</v>
      </c>
      <c r="O145" s="133">
        <f t="shared" si="31"/>
        <v>0</v>
      </c>
      <c r="P145" s="103">
        <f>SUM(N$27:N145)</f>
        <v>0</v>
      </c>
      <c r="Q145" s="103">
        <f t="shared" si="41"/>
        <v>0</v>
      </c>
      <c r="R145" s="103">
        <f t="shared" si="35"/>
        <v>0</v>
      </c>
      <c r="S145" s="103">
        <f t="shared" si="36"/>
        <v>0</v>
      </c>
      <c r="T145" s="103">
        <f t="shared" si="37"/>
        <v>0</v>
      </c>
      <c r="U145" s="96" t="s">
        <v>67</v>
      </c>
      <c r="V145" s="96" t="str">
        <f t="shared" si="32"/>
        <v>-</v>
      </c>
      <c r="W145" s="96" t="str">
        <f t="shared" si="38"/>
        <v>-</v>
      </c>
      <c r="X145" s="96" t="str">
        <f t="shared" si="39"/>
        <v>-</v>
      </c>
      <c r="Y145" s="107" t="str">
        <f t="shared" si="33"/>
        <v/>
      </c>
      <c r="Z145" s="71"/>
    </row>
    <row r="146" spans="1:26" x14ac:dyDescent="0.2">
      <c r="A146" s="108">
        <v>119</v>
      </c>
      <c r="B146" s="132">
        <f>G146+H146-D146-K146</f>
        <v>0</v>
      </c>
      <c r="C146" s="104">
        <f t="shared" si="40"/>
        <v>0</v>
      </c>
      <c r="D146" s="132">
        <f t="shared" si="25"/>
        <v>0</v>
      </c>
      <c r="E146" s="132">
        <f t="shared" si="26"/>
        <v>0</v>
      </c>
      <c r="F146" s="132">
        <f t="shared" si="27"/>
        <v>0</v>
      </c>
      <c r="G146" s="114">
        <f>IF(SUM(K$27:K145)&gt;0,0,IF(Y146&lt;&gt;"-",$B$3,0))</f>
        <v>0</v>
      </c>
      <c r="H146" s="114">
        <f t="shared" si="28"/>
        <v>0</v>
      </c>
      <c r="I146" s="105">
        <f t="shared" si="34"/>
        <v>0</v>
      </c>
      <c r="J146" s="105">
        <f t="shared" si="29"/>
        <v>0</v>
      </c>
      <c r="K146" s="132">
        <f t="shared" si="43"/>
        <v>0</v>
      </c>
      <c r="L146" s="133">
        <f t="shared" si="44"/>
        <v>0</v>
      </c>
      <c r="M146" s="132">
        <f>IF(SUM(K$28:K146)&gt;0,MIN(O145*(1+B$9)^(1/12),G$25-G146+K146),0)</f>
        <v>0</v>
      </c>
      <c r="N146" s="132">
        <f t="shared" si="30"/>
        <v>0</v>
      </c>
      <c r="O146" s="133">
        <f t="shared" si="31"/>
        <v>0</v>
      </c>
      <c r="P146" s="103">
        <f>SUM(N$27:N146)</f>
        <v>0</v>
      </c>
      <c r="Q146" s="103">
        <f t="shared" si="41"/>
        <v>0</v>
      </c>
      <c r="R146" s="103">
        <f t="shared" si="35"/>
        <v>0</v>
      </c>
      <c r="S146" s="103">
        <f t="shared" si="36"/>
        <v>0</v>
      </c>
      <c r="T146" s="103">
        <f t="shared" si="37"/>
        <v>0</v>
      </c>
      <c r="U146" s="96" t="s">
        <v>67</v>
      </c>
      <c r="V146" s="96" t="str">
        <f t="shared" si="32"/>
        <v>-</v>
      </c>
      <c r="W146" s="96" t="str">
        <f t="shared" si="38"/>
        <v>-</v>
      </c>
      <c r="X146" s="96" t="str">
        <f t="shared" si="39"/>
        <v>-</v>
      </c>
      <c r="Y146" s="107" t="str">
        <f t="shared" si="33"/>
        <v/>
      </c>
      <c r="Z146" s="71"/>
    </row>
    <row r="147" spans="1:26" x14ac:dyDescent="0.2">
      <c r="A147" s="110">
        <v>120</v>
      </c>
      <c r="B147" s="111">
        <f>L147+G147+H147-D147-K147</f>
        <v>0</v>
      </c>
      <c r="C147" s="111">
        <f t="shared" si="40"/>
        <v>0</v>
      </c>
      <c r="D147" s="111">
        <f t="shared" si="25"/>
        <v>0</v>
      </c>
      <c r="E147" s="111">
        <f t="shared" si="26"/>
        <v>0</v>
      </c>
      <c r="F147" s="111">
        <f t="shared" si="27"/>
        <v>0</v>
      </c>
      <c r="G147" s="112">
        <f>IF(SUM(K$27:K146)&gt;0,0,IF(Y147&lt;&gt;"-",$B$3,0))</f>
        <v>0</v>
      </c>
      <c r="H147" s="112">
        <f t="shared" si="28"/>
        <v>0</v>
      </c>
      <c r="I147" s="112">
        <f t="shared" si="34"/>
        <v>0</v>
      </c>
      <c r="J147" s="112">
        <f t="shared" si="29"/>
        <v>0</v>
      </c>
      <c r="K147" s="111">
        <f t="shared" si="43"/>
        <v>0</v>
      </c>
      <c r="L147" s="113">
        <f t="shared" si="44"/>
        <v>0</v>
      </c>
      <c r="M147" s="111">
        <f>IF(SUM(K$28:K147)&gt;0,MIN(O146*(1+B$9)^(1/12),G$25-G147+K147),0)</f>
        <v>0</v>
      </c>
      <c r="N147" s="111">
        <f t="shared" si="30"/>
        <v>0</v>
      </c>
      <c r="O147" s="113">
        <f t="shared" si="31"/>
        <v>0</v>
      </c>
      <c r="P147" s="111">
        <f>SUM(N$27:N147)</f>
        <v>0</v>
      </c>
      <c r="Q147" s="111">
        <f t="shared" si="41"/>
        <v>0</v>
      </c>
      <c r="R147" s="111">
        <f t="shared" si="35"/>
        <v>0</v>
      </c>
      <c r="S147" s="111">
        <f t="shared" si="36"/>
        <v>0</v>
      </c>
      <c r="T147" s="111">
        <f t="shared" si="37"/>
        <v>0</v>
      </c>
      <c r="U147" s="101" t="s">
        <v>67</v>
      </c>
      <c r="V147" s="101" t="str">
        <f t="shared" si="32"/>
        <v>q</v>
      </c>
      <c r="W147" s="101" t="str">
        <f t="shared" si="38"/>
        <v>s</v>
      </c>
      <c r="X147" s="101" t="str">
        <f t="shared" si="39"/>
        <v>a</v>
      </c>
      <c r="Y147" s="107" t="str">
        <f t="shared" si="33"/>
        <v/>
      </c>
      <c r="Z147" s="71"/>
    </row>
    <row r="148" spans="1:26" x14ac:dyDescent="0.2">
      <c r="A148" s="136"/>
      <c r="B148" s="136"/>
      <c r="C148" s="136"/>
      <c r="D148" s="136"/>
      <c r="E148" s="136"/>
      <c r="F148" s="136"/>
      <c r="G148" s="136"/>
      <c r="H148" s="136"/>
      <c r="I148" s="136"/>
      <c r="J148" s="136"/>
      <c r="K148" s="136"/>
      <c r="L148" s="136"/>
      <c r="M148" s="137"/>
      <c r="N148" s="115"/>
      <c r="O148" s="136"/>
      <c r="P148" s="136"/>
      <c r="Q148" s="136"/>
      <c r="R148" s="136"/>
      <c r="S148" s="136"/>
      <c r="T148" s="136"/>
      <c r="U148" s="136"/>
      <c r="V148" s="136"/>
      <c r="W148" s="136"/>
      <c r="X148" s="136"/>
      <c r="Y148" s="136"/>
      <c r="Z148" s="71"/>
    </row>
    <row r="149" spans="1:26" x14ac:dyDescent="0.2">
      <c r="A149" s="71"/>
      <c r="B149" s="71"/>
      <c r="C149" s="71"/>
      <c r="D149" s="71"/>
      <c r="E149" s="71"/>
      <c r="F149" s="71"/>
      <c r="G149" s="71"/>
      <c r="H149" s="71"/>
      <c r="I149" s="71"/>
      <c r="J149" s="71"/>
      <c r="K149" s="71"/>
      <c r="L149" s="71"/>
      <c r="M149" s="138"/>
      <c r="N149" s="71"/>
      <c r="O149" s="71"/>
      <c r="P149" s="71"/>
      <c r="Q149" s="139"/>
      <c r="R149" s="71"/>
      <c r="S149" s="71"/>
      <c r="T149" s="71"/>
      <c r="U149" s="71"/>
      <c r="V149" s="71"/>
      <c r="W149" s="71"/>
      <c r="X149" s="71"/>
      <c r="Y149" s="71"/>
      <c r="Z149" s="71"/>
    </row>
    <row r="150" spans="1:26" x14ac:dyDescent="0.2">
      <c r="A150" s="71"/>
      <c r="B150" s="71"/>
      <c r="C150" s="71"/>
      <c r="D150" s="71"/>
      <c r="E150" s="71"/>
      <c r="F150" s="71"/>
      <c r="G150" s="71"/>
      <c r="H150" s="71"/>
      <c r="I150" s="71"/>
      <c r="J150" s="71"/>
      <c r="K150" s="71"/>
      <c r="L150" s="71"/>
      <c r="M150" s="138"/>
      <c r="N150" s="71"/>
      <c r="O150" s="71"/>
      <c r="P150" s="71"/>
      <c r="Q150" s="139"/>
      <c r="R150" s="71"/>
      <c r="S150" s="71"/>
      <c r="T150" s="71"/>
      <c r="U150" s="71"/>
      <c r="V150" s="71"/>
      <c r="W150" s="71"/>
      <c r="X150" s="71"/>
      <c r="Y150" s="71"/>
      <c r="Z150" s="71"/>
    </row>
    <row r="151" spans="1:26" x14ac:dyDescent="0.2">
      <c r="A151" s="71"/>
      <c r="B151" s="71"/>
      <c r="C151" s="71"/>
      <c r="D151" s="71"/>
      <c r="E151" s="71"/>
      <c r="F151" s="71"/>
      <c r="G151" s="71"/>
      <c r="H151" s="71"/>
      <c r="I151" s="71"/>
      <c r="J151" s="71"/>
      <c r="K151" s="71"/>
      <c r="L151" s="71"/>
      <c r="M151" s="138"/>
      <c r="N151" s="71"/>
      <c r="O151" s="71"/>
      <c r="P151" s="71"/>
      <c r="Q151" s="139"/>
      <c r="R151" s="71"/>
      <c r="S151" s="71"/>
      <c r="T151" s="71"/>
      <c r="U151" s="71"/>
      <c r="V151" s="71"/>
      <c r="W151" s="71"/>
      <c r="X151" s="71"/>
      <c r="Y151" s="71"/>
      <c r="Z151" s="71"/>
    </row>
    <row r="152" spans="1:26" x14ac:dyDescent="0.2">
      <c r="A152" s="71"/>
      <c r="B152" s="71"/>
      <c r="C152" s="71"/>
      <c r="D152" s="71"/>
      <c r="E152" s="71"/>
      <c r="F152" s="71"/>
      <c r="G152" s="71"/>
      <c r="H152" s="71"/>
      <c r="I152" s="71"/>
      <c r="J152" s="71"/>
      <c r="K152" s="71"/>
      <c r="L152" s="71"/>
      <c r="M152" s="138"/>
      <c r="N152" s="71"/>
      <c r="O152" s="71"/>
      <c r="P152" s="71"/>
      <c r="Q152" s="139"/>
      <c r="R152" s="71"/>
      <c r="S152" s="71"/>
      <c r="T152" s="71"/>
      <c r="U152" s="71"/>
      <c r="V152" s="71"/>
      <c r="W152" s="71"/>
      <c r="X152" s="71"/>
      <c r="Y152" s="71"/>
      <c r="Z152" s="71"/>
    </row>
    <row r="153" spans="1:26" x14ac:dyDescent="0.2">
      <c r="A153" s="71"/>
      <c r="B153" s="71"/>
      <c r="C153" s="71"/>
      <c r="D153" s="71"/>
      <c r="E153" s="71"/>
      <c r="F153" s="71"/>
      <c r="G153" s="71"/>
      <c r="H153" s="71"/>
      <c r="I153" s="71"/>
      <c r="J153" s="71"/>
      <c r="K153" s="71"/>
      <c r="L153" s="71"/>
      <c r="M153" s="138"/>
      <c r="N153" s="71"/>
      <c r="O153" s="71"/>
      <c r="P153" s="71"/>
      <c r="Q153" s="139"/>
      <c r="R153" s="71"/>
      <c r="S153" s="71"/>
      <c r="T153" s="71"/>
      <c r="U153" s="71"/>
      <c r="V153" s="71"/>
      <c r="W153" s="71"/>
      <c r="X153" s="71"/>
      <c r="Y153" s="71"/>
      <c r="Z153" s="71"/>
    </row>
    <row r="154" spans="1:26" x14ac:dyDescent="0.2">
      <c r="A154" s="71"/>
      <c r="B154" s="71"/>
      <c r="C154" s="71"/>
      <c r="D154" s="71"/>
      <c r="E154" s="71"/>
      <c r="F154" s="71"/>
      <c r="G154" s="71"/>
      <c r="H154" s="71"/>
      <c r="I154" s="71"/>
      <c r="J154" s="71"/>
      <c r="K154" s="71"/>
      <c r="L154" s="71"/>
      <c r="M154" s="138"/>
      <c r="N154" s="71"/>
      <c r="O154" s="71"/>
      <c r="P154" s="71"/>
      <c r="Q154" s="139"/>
      <c r="R154" s="71"/>
      <c r="S154" s="71"/>
      <c r="T154" s="71"/>
      <c r="U154" s="71"/>
      <c r="V154" s="71"/>
      <c r="W154" s="71"/>
      <c r="X154" s="71"/>
      <c r="Y154" s="71"/>
      <c r="Z154" s="71"/>
    </row>
    <row r="155" spans="1:26" x14ac:dyDescent="0.2">
      <c r="A155" s="71"/>
      <c r="B155" s="71"/>
      <c r="C155" s="71"/>
      <c r="D155" s="71"/>
      <c r="E155" s="71"/>
      <c r="F155" s="71"/>
      <c r="G155" s="71"/>
      <c r="H155" s="71"/>
      <c r="I155" s="71"/>
      <c r="J155" s="71"/>
      <c r="K155" s="71"/>
      <c r="L155" s="71"/>
      <c r="M155" s="138"/>
      <c r="N155" s="71"/>
      <c r="O155" s="71"/>
      <c r="P155" s="71"/>
      <c r="Q155" s="139"/>
      <c r="R155" s="71"/>
      <c r="S155" s="71"/>
      <c r="T155" s="71"/>
      <c r="U155" s="71"/>
      <c r="V155" s="71"/>
      <c r="W155" s="71"/>
      <c r="X155" s="71"/>
      <c r="Y155" s="71"/>
      <c r="Z155" s="71"/>
    </row>
    <row r="156" spans="1:26" x14ac:dyDescent="0.2">
      <c r="A156" s="71"/>
      <c r="B156" s="71"/>
      <c r="C156" s="71"/>
      <c r="D156" s="71"/>
      <c r="E156" s="71"/>
      <c r="F156" s="71"/>
      <c r="G156" s="71"/>
      <c r="H156" s="71"/>
      <c r="I156" s="71"/>
      <c r="J156" s="71"/>
      <c r="K156" s="71"/>
      <c r="L156" s="71"/>
      <c r="M156" s="138"/>
      <c r="N156" s="71"/>
      <c r="O156" s="71"/>
      <c r="P156" s="71"/>
      <c r="Q156" s="139"/>
      <c r="R156" s="71"/>
      <c r="S156" s="71"/>
      <c r="T156" s="71"/>
      <c r="U156" s="71"/>
      <c r="V156" s="71"/>
      <c r="W156" s="71"/>
      <c r="X156" s="71"/>
      <c r="Y156" s="71"/>
      <c r="Z156" s="71"/>
    </row>
    <row r="157" spans="1:26" x14ac:dyDescent="0.2">
      <c r="A157" s="71"/>
      <c r="B157" s="71"/>
      <c r="C157" s="71"/>
      <c r="D157" s="71"/>
      <c r="E157" s="71"/>
      <c r="F157" s="71"/>
      <c r="G157" s="71"/>
      <c r="H157" s="71"/>
      <c r="I157" s="71"/>
      <c r="J157" s="71"/>
      <c r="K157" s="71"/>
      <c r="L157" s="71"/>
      <c r="M157" s="138"/>
      <c r="N157" s="71"/>
      <c r="O157" s="71"/>
      <c r="P157" s="71"/>
      <c r="Q157" s="139"/>
      <c r="R157" s="71"/>
      <c r="S157" s="71"/>
      <c r="T157" s="71"/>
      <c r="U157" s="71"/>
      <c r="V157" s="71"/>
      <c r="W157" s="71"/>
      <c r="X157" s="71"/>
      <c r="Y157" s="71"/>
      <c r="Z157" s="71"/>
    </row>
    <row r="158" spans="1:26" x14ac:dyDescent="0.2">
      <c r="A158" s="71"/>
      <c r="B158" s="71"/>
      <c r="C158" s="71"/>
      <c r="D158" s="71"/>
      <c r="E158" s="71"/>
      <c r="F158" s="71"/>
      <c r="G158" s="71"/>
      <c r="H158" s="71"/>
      <c r="I158" s="71"/>
      <c r="J158" s="71"/>
      <c r="K158" s="71"/>
      <c r="L158" s="71"/>
      <c r="M158" s="138"/>
      <c r="N158" s="71"/>
      <c r="O158" s="71"/>
      <c r="P158" s="71"/>
      <c r="Q158" s="139"/>
      <c r="R158" s="71"/>
      <c r="S158" s="71"/>
      <c r="T158" s="71"/>
      <c r="U158" s="71"/>
      <c r="V158" s="71"/>
      <c r="W158" s="71"/>
      <c r="X158" s="71"/>
      <c r="Y158" s="71"/>
      <c r="Z158" s="71"/>
    </row>
    <row r="159" spans="1:26" x14ac:dyDescent="0.2">
      <c r="A159" s="71"/>
      <c r="B159" s="71"/>
      <c r="C159" s="71"/>
      <c r="D159" s="71"/>
      <c r="E159" s="71"/>
      <c r="F159" s="71"/>
      <c r="G159" s="71"/>
      <c r="H159" s="71"/>
      <c r="I159" s="71"/>
      <c r="J159" s="71"/>
      <c r="K159" s="71"/>
      <c r="L159" s="71"/>
      <c r="M159" s="138"/>
      <c r="N159" s="71"/>
      <c r="O159" s="71"/>
      <c r="P159" s="71"/>
      <c r="Q159" s="139"/>
      <c r="R159" s="71"/>
      <c r="S159" s="71"/>
      <c r="T159" s="71"/>
      <c r="U159" s="71"/>
      <c r="V159" s="71"/>
      <c r="W159" s="71"/>
      <c r="X159" s="71"/>
      <c r="Y159" s="71"/>
      <c r="Z159" s="71"/>
    </row>
    <row r="160" spans="1:26" x14ac:dyDescent="0.2">
      <c r="A160" s="71"/>
      <c r="B160" s="71"/>
      <c r="C160" s="71"/>
      <c r="D160" s="71"/>
      <c r="E160" s="71"/>
      <c r="F160" s="71"/>
      <c r="G160" s="71"/>
      <c r="H160" s="71"/>
      <c r="I160" s="71"/>
      <c r="J160" s="71"/>
      <c r="K160" s="71"/>
      <c r="L160" s="71"/>
      <c r="M160" s="138"/>
      <c r="N160" s="71"/>
      <c r="O160" s="71"/>
      <c r="P160" s="71"/>
      <c r="Q160" s="139"/>
      <c r="R160" s="71"/>
      <c r="S160" s="71"/>
      <c r="T160" s="71"/>
      <c r="U160" s="71"/>
      <c r="V160" s="71"/>
      <c r="W160" s="71"/>
      <c r="X160" s="71"/>
      <c r="Y160" s="71"/>
      <c r="Z160" s="71"/>
    </row>
    <row r="161" spans="1:26" x14ac:dyDescent="0.2">
      <c r="A161" s="71"/>
      <c r="B161" s="71"/>
      <c r="C161" s="71"/>
      <c r="D161" s="71"/>
      <c r="E161" s="71"/>
      <c r="F161" s="71"/>
      <c r="G161" s="71"/>
      <c r="H161" s="71"/>
      <c r="I161" s="71"/>
      <c r="J161" s="71"/>
      <c r="K161" s="71"/>
      <c r="L161" s="71"/>
      <c r="M161" s="138"/>
      <c r="N161" s="71"/>
      <c r="O161" s="71"/>
      <c r="P161" s="71"/>
      <c r="Q161" s="139"/>
      <c r="R161" s="71"/>
      <c r="S161" s="71"/>
      <c r="T161" s="71"/>
      <c r="U161" s="71"/>
      <c r="V161" s="71"/>
      <c r="W161" s="71"/>
      <c r="X161" s="71"/>
      <c r="Y161" s="71"/>
      <c r="Z161" s="71"/>
    </row>
    <row r="162" spans="1:26" x14ac:dyDescent="0.2">
      <c r="A162" s="71"/>
      <c r="B162" s="71"/>
      <c r="C162" s="71"/>
      <c r="D162" s="71"/>
      <c r="E162" s="71"/>
      <c r="F162" s="71"/>
      <c r="G162" s="71"/>
      <c r="H162" s="71"/>
      <c r="I162" s="71"/>
      <c r="J162" s="71"/>
      <c r="K162" s="71"/>
      <c r="L162" s="71"/>
      <c r="M162" s="138"/>
      <c r="N162" s="71"/>
      <c r="O162" s="71"/>
      <c r="P162" s="71"/>
      <c r="Q162" s="139"/>
      <c r="R162" s="71"/>
      <c r="S162" s="71"/>
      <c r="T162" s="71"/>
      <c r="U162" s="71"/>
      <c r="V162" s="71"/>
      <c r="W162" s="71"/>
      <c r="X162" s="71"/>
      <c r="Y162" s="71"/>
      <c r="Z162" s="71"/>
    </row>
    <row r="163" spans="1:26" x14ac:dyDescent="0.2">
      <c r="A163" s="71"/>
      <c r="B163" s="71"/>
      <c r="C163" s="71"/>
      <c r="D163" s="71"/>
      <c r="E163" s="71"/>
      <c r="F163" s="71"/>
      <c r="G163" s="71"/>
      <c r="H163" s="71"/>
      <c r="I163" s="71"/>
      <c r="J163" s="71"/>
      <c r="K163" s="71"/>
      <c r="L163" s="71"/>
      <c r="M163" s="138"/>
      <c r="N163" s="71"/>
      <c r="O163" s="71"/>
      <c r="P163" s="71"/>
      <c r="Q163" s="139"/>
      <c r="R163" s="71"/>
      <c r="S163" s="71"/>
      <c r="T163" s="71"/>
      <c r="U163" s="71"/>
      <c r="V163" s="71"/>
      <c r="W163" s="71"/>
      <c r="X163" s="71"/>
      <c r="Y163" s="71"/>
      <c r="Z163" s="71"/>
    </row>
    <row r="164" spans="1:26" x14ac:dyDescent="0.2">
      <c r="A164" s="71"/>
      <c r="B164" s="71"/>
      <c r="C164" s="71"/>
      <c r="D164" s="71"/>
      <c r="E164" s="71"/>
      <c r="F164" s="71"/>
      <c r="G164" s="71"/>
      <c r="H164" s="71"/>
      <c r="I164" s="71"/>
      <c r="J164" s="71"/>
      <c r="K164" s="71"/>
      <c r="L164" s="71"/>
      <c r="M164" s="138"/>
      <c r="N164" s="71"/>
      <c r="O164" s="71"/>
      <c r="P164" s="71"/>
      <c r="Q164" s="139"/>
      <c r="R164" s="71"/>
      <c r="S164" s="71"/>
      <c r="T164" s="71"/>
      <c r="U164" s="71"/>
      <c r="V164" s="71"/>
      <c r="W164" s="71"/>
      <c r="X164" s="71"/>
      <c r="Y164" s="71"/>
      <c r="Z164" s="71"/>
    </row>
    <row r="165" spans="1:26" x14ac:dyDescent="0.2">
      <c r="A165" s="71"/>
      <c r="B165" s="71"/>
      <c r="C165" s="71"/>
      <c r="D165" s="71"/>
      <c r="E165" s="71"/>
      <c r="F165" s="71"/>
      <c r="G165" s="71"/>
      <c r="H165" s="71"/>
      <c r="I165" s="71"/>
      <c r="J165" s="71"/>
      <c r="K165" s="71"/>
      <c r="L165" s="71"/>
      <c r="M165" s="138"/>
      <c r="N165" s="71"/>
      <c r="O165" s="71"/>
      <c r="P165" s="71"/>
      <c r="Q165" s="139"/>
      <c r="R165" s="71"/>
      <c r="S165" s="71"/>
      <c r="T165" s="71"/>
      <c r="U165" s="71"/>
      <c r="V165" s="71"/>
      <c r="W165" s="71"/>
      <c r="X165" s="71"/>
      <c r="Y165" s="71"/>
      <c r="Z165" s="71"/>
    </row>
    <row r="166" spans="1:26" x14ac:dyDescent="0.2">
      <c r="A166" s="71"/>
      <c r="B166" s="71"/>
      <c r="C166" s="71"/>
      <c r="D166" s="71"/>
      <c r="E166" s="71"/>
      <c r="F166" s="71"/>
      <c r="G166" s="71"/>
      <c r="H166" s="71"/>
      <c r="I166" s="71"/>
      <c r="J166" s="71"/>
      <c r="K166" s="71"/>
      <c r="L166" s="71"/>
      <c r="M166" s="138"/>
      <c r="N166" s="71"/>
      <c r="O166" s="71"/>
      <c r="P166" s="71"/>
      <c r="Q166" s="139"/>
      <c r="R166" s="71"/>
      <c r="S166" s="71"/>
      <c r="T166" s="71"/>
      <c r="U166" s="71"/>
      <c r="V166" s="71"/>
      <c r="W166" s="71"/>
      <c r="X166" s="71"/>
      <c r="Y166" s="71"/>
      <c r="Z166" s="71"/>
    </row>
    <row r="167" spans="1:26" x14ac:dyDescent="0.2">
      <c r="A167" s="71"/>
      <c r="B167" s="71"/>
      <c r="C167" s="71"/>
      <c r="D167" s="71"/>
      <c r="E167" s="71"/>
      <c r="F167" s="71"/>
      <c r="G167" s="71"/>
      <c r="H167" s="71"/>
      <c r="I167" s="71"/>
      <c r="J167" s="71"/>
      <c r="K167" s="71"/>
      <c r="L167" s="71"/>
      <c r="M167" s="138"/>
      <c r="N167" s="71"/>
      <c r="O167" s="71"/>
      <c r="P167" s="71"/>
      <c r="Q167" s="139"/>
      <c r="R167" s="71"/>
      <c r="S167" s="71"/>
      <c r="T167" s="71"/>
      <c r="U167" s="71"/>
      <c r="V167" s="71"/>
      <c r="W167" s="71"/>
      <c r="X167" s="71"/>
      <c r="Y167" s="71"/>
      <c r="Z167" s="71"/>
    </row>
    <row r="168" spans="1:26" x14ac:dyDescent="0.2">
      <c r="A168" s="71"/>
      <c r="B168" s="71"/>
      <c r="C168" s="71"/>
      <c r="D168" s="71"/>
      <c r="E168" s="71"/>
      <c r="F168" s="71"/>
      <c r="G168" s="71"/>
      <c r="H168" s="71"/>
      <c r="I168" s="71"/>
      <c r="J168" s="71"/>
      <c r="K168" s="71"/>
      <c r="L168" s="71"/>
      <c r="M168" s="138"/>
      <c r="N168" s="71"/>
      <c r="O168" s="71"/>
      <c r="P168" s="71"/>
      <c r="Q168" s="139"/>
      <c r="R168" s="71"/>
      <c r="S168" s="71"/>
      <c r="T168" s="71"/>
      <c r="U168" s="71"/>
      <c r="V168" s="71"/>
      <c r="W168" s="71"/>
      <c r="X168" s="71"/>
      <c r="Y168" s="71"/>
      <c r="Z168" s="71"/>
    </row>
    <row r="169" spans="1:26" x14ac:dyDescent="0.2">
      <c r="A169" s="71"/>
      <c r="B169" s="71"/>
      <c r="C169" s="71"/>
      <c r="D169" s="71"/>
      <c r="E169" s="71"/>
      <c r="F169" s="71"/>
      <c r="G169" s="71"/>
      <c r="H169" s="71"/>
      <c r="I169" s="71"/>
      <c r="J169" s="71"/>
      <c r="K169" s="71"/>
      <c r="L169" s="71"/>
      <c r="M169" s="138"/>
      <c r="N169" s="71"/>
      <c r="O169" s="71"/>
      <c r="P169" s="71"/>
      <c r="Q169" s="139"/>
      <c r="R169" s="71"/>
      <c r="S169" s="71"/>
      <c r="T169" s="71"/>
      <c r="U169" s="71"/>
      <c r="V169" s="71"/>
      <c r="W169" s="71"/>
      <c r="X169" s="71"/>
      <c r="Y169" s="71"/>
      <c r="Z169" s="71"/>
    </row>
    <row r="170" spans="1:26" x14ac:dyDescent="0.2">
      <c r="A170" s="71"/>
      <c r="B170" s="71"/>
      <c r="C170" s="71"/>
      <c r="D170" s="71"/>
      <c r="E170" s="71"/>
      <c r="F170" s="71"/>
      <c r="G170" s="71"/>
      <c r="H170" s="71"/>
      <c r="I170" s="71"/>
      <c r="J170" s="71"/>
      <c r="K170" s="71"/>
      <c r="L170" s="71"/>
      <c r="M170" s="138"/>
      <c r="N170" s="71"/>
      <c r="O170" s="71"/>
      <c r="P170" s="71"/>
      <c r="Q170" s="139"/>
      <c r="R170" s="71"/>
      <c r="S170" s="71"/>
      <c r="T170" s="71"/>
      <c r="U170" s="71"/>
      <c r="V170" s="71"/>
      <c r="W170" s="71"/>
      <c r="X170" s="71"/>
      <c r="Y170" s="71"/>
      <c r="Z170" s="71"/>
    </row>
    <row r="171" spans="1:26" x14ac:dyDescent="0.2">
      <c r="A171" s="71"/>
      <c r="B171" s="71"/>
      <c r="C171" s="71"/>
      <c r="D171" s="71"/>
      <c r="E171" s="71"/>
      <c r="F171" s="71"/>
      <c r="G171" s="71"/>
      <c r="H171" s="71"/>
      <c r="I171" s="71"/>
      <c r="J171" s="71"/>
      <c r="K171" s="71"/>
      <c r="L171" s="71"/>
      <c r="M171" s="138"/>
      <c r="N171" s="71"/>
      <c r="O171" s="71"/>
      <c r="P171" s="71"/>
      <c r="Q171" s="139"/>
      <c r="R171" s="71"/>
      <c r="S171" s="71"/>
      <c r="T171" s="71"/>
      <c r="U171" s="71"/>
      <c r="V171" s="71"/>
      <c r="W171" s="71"/>
      <c r="X171" s="71"/>
      <c r="Y171" s="71"/>
      <c r="Z171" s="71"/>
    </row>
    <row r="172" spans="1:26" x14ac:dyDescent="0.2">
      <c r="A172" s="71"/>
      <c r="B172" s="71"/>
      <c r="C172" s="71"/>
      <c r="D172" s="71"/>
      <c r="E172" s="71"/>
      <c r="F172" s="71"/>
      <c r="G172" s="71"/>
      <c r="H172" s="71"/>
      <c r="I172" s="71"/>
      <c r="J172" s="71"/>
      <c r="K172" s="71"/>
      <c r="L172" s="71"/>
      <c r="M172" s="138"/>
      <c r="N172" s="71"/>
      <c r="O172" s="71"/>
      <c r="P172" s="71"/>
      <c r="Q172" s="139"/>
      <c r="R172" s="71"/>
      <c r="S172" s="71"/>
      <c r="T172" s="71"/>
      <c r="U172" s="71"/>
      <c r="V172" s="71"/>
      <c r="W172" s="71"/>
      <c r="X172" s="71"/>
      <c r="Y172" s="71"/>
      <c r="Z172" s="71"/>
    </row>
    <row r="173" spans="1:26" x14ac:dyDescent="0.2">
      <c r="Q173" s="79"/>
    </row>
    <row r="174" spans="1:26" x14ac:dyDescent="0.2">
      <c r="Q174" s="79"/>
    </row>
    <row r="175" spans="1:26" x14ac:dyDescent="0.2">
      <c r="Q175" s="79"/>
    </row>
    <row r="176" spans="1:26" x14ac:dyDescent="0.2">
      <c r="Q176" s="79"/>
    </row>
    <row r="177" spans="17:17" x14ac:dyDescent="0.2">
      <c r="Q177" s="79"/>
    </row>
    <row r="178" spans="17:17" x14ac:dyDescent="0.2">
      <c r="Q178" s="79"/>
    </row>
    <row r="179" spans="17:17" x14ac:dyDescent="0.2">
      <c r="Q179" s="79"/>
    </row>
    <row r="180" spans="17:17" x14ac:dyDescent="0.2">
      <c r="Q180" s="79"/>
    </row>
    <row r="181" spans="17:17" x14ac:dyDescent="0.2">
      <c r="Q181" s="79"/>
    </row>
    <row r="182" spans="17:17" x14ac:dyDescent="0.2">
      <c r="Q182" s="79"/>
    </row>
    <row r="183" spans="17:17" x14ac:dyDescent="0.2">
      <c r="Q183" s="79"/>
    </row>
    <row r="184" spans="17:17" x14ac:dyDescent="0.2">
      <c r="Q184" s="79"/>
    </row>
    <row r="185" spans="17:17" x14ac:dyDescent="0.2">
      <c r="Q185" s="79"/>
    </row>
    <row r="186" spans="17:17" x14ac:dyDescent="0.2">
      <c r="Q186" s="79"/>
    </row>
    <row r="187" spans="17:17" x14ac:dyDescent="0.2">
      <c r="Q187" s="79"/>
    </row>
    <row r="188" spans="17:17" x14ac:dyDescent="0.2">
      <c r="Q188" s="79"/>
    </row>
    <row r="189" spans="17:17" x14ac:dyDescent="0.2">
      <c r="Q189" s="79"/>
    </row>
    <row r="190" spans="17:17" x14ac:dyDescent="0.2">
      <c r="Q190" s="79"/>
    </row>
    <row r="191" spans="17:17" x14ac:dyDescent="0.2">
      <c r="Q191" s="79"/>
    </row>
    <row r="192" spans="17:17" x14ac:dyDescent="0.2">
      <c r="Q192" s="79"/>
    </row>
    <row r="193" spans="17:17" x14ac:dyDescent="0.2">
      <c r="Q193" s="79"/>
    </row>
    <row r="194" spans="17:17" x14ac:dyDescent="0.2">
      <c r="Q194" s="79"/>
    </row>
    <row r="195" spans="17:17" x14ac:dyDescent="0.2">
      <c r="Q195" s="79"/>
    </row>
    <row r="196" spans="17:17" x14ac:dyDescent="0.2">
      <c r="Q196" s="79"/>
    </row>
    <row r="197" spans="17:17" x14ac:dyDescent="0.2">
      <c r="Q197" s="79"/>
    </row>
    <row r="198" spans="17:17" x14ac:dyDescent="0.2">
      <c r="Q198" s="79"/>
    </row>
    <row r="199" spans="17:17" x14ac:dyDescent="0.2">
      <c r="Q199" s="79"/>
    </row>
    <row r="200" spans="17:17" x14ac:dyDescent="0.2">
      <c r="Q200" s="79"/>
    </row>
    <row r="201" spans="17:17" x14ac:dyDescent="0.2">
      <c r="Q201" s="79"/>
    </row>
    <row r="202" spans="17:17" x14ac:dyDescent="0.2">
      <c r="Q202" s="79"/>
    </row>
    <row r="203" spans="17:17" x14ac:dyDescent="0.2">
      <c r="Q203" s="79"/>
    </row>
    <row r="204" spans="17:17" x14ac:dyDescent="0.2">
      <c r="Q204" s="79"/>
    </row>
    <row r="205" spans="17:17" x14ac:dyDescent="0.2">
      <c r="Q205" s="79"/>
    </row>
    <row r="206" spans="17:17" x14ac:dyDescent="0.2">
      <c r="Q206" s="79"/>
    </row>
    <row r="207" spans="17:17" x14ac:dyDescent="0.2">
      <c r="Q207" s="79"/>
    </row>
    <row r="208" spans="17:17" x14ac:dyDescent="0.2">
      <c r="Q208" s="79"/>
    </row>
    <row r="209" spans="17:17" x14ac:dyDescent="0.2">
      <c r="Q209" s="79"/>
    </row>
    <row r="210" spans="17:17" x14ac:dyDescent="0.2">
      <c r="Q210" s="79"/>
    </row>
    <row r="211" spans="17:17" x14ac:dyDescent="0.2">
      <c r="Q211" s="79"/>
    </row>
    <row r="212" spans="17:17" x14ac:dyDescent="0.2">
      <c r="Q212" s="79"/>
    </row>
    <row r="213" spans="17:17" x14ac:dyDescent="0.2">
      <c r="Q213" s="79"/>
    </row>
    <row r="214" spans="17:17" x14ac:dyDescent="0.2">
      <c r="Q214" s="79"/>
    </row>
    <row r="215" spans="17:17" x14ac:dyDescent="0.2">
      <c r="Q215" s="79"/>
    </row>
    <row r="216" spans="17:17" x14ac:dyDescent="0.2">
      <c r="Q216" s="79"/>
    </row>
    <row r="217" spans="17:17" x14ac:dyDescent="0.2">
      <c r="Q217" s="79"/>
    </row>
    <row r="218" spans="17:17" x14ac:dyDescent="0.2">
      <c r="Q218" s="79"/>
    </row>
    <row r="219" spans="17:17" x14ac:dyDescent="0.2">
      <c r="Q219" s="79"/>
    </row>
    <row r="220" spans="17:17" x14ac:dyDescent="0.2">
      <c r="Q220" s="79"/>
    </row>
    <row r="221" spans="17:17" x14ac:dyDescent="0.2">
      <c r="Q221" s="79"/>
    </row>
    <row r="222" spans="17:17" x14ac:dyDescent="0.2">
      <c r="Q222" s="79"/>
    </row>
    <row r="223" spans="17:17" x14ac:dyDescent="0.2">
      <c r="Q223" s="79"/>
    </row>
    <row r="224" spans="17:17" x14ac:dyDescent="0.2">
      <c r="Q224" s="79"/>
    </row>
    <row r="225" spans="17:17" x14ac:dyDescent="0.2">
      <c r="Q225" s="79"/>
    </row>
    <row r="226" spans="17:17" x14ac:dyDescent="0.2">
      <c r="Q226" s="79"/>
    </row>
    <row r="227" spans="17:17" x14ac:dyDescent="0.2">
      <c r="Q227" s="79"/>
    </row>
    <row r="228" spans="17:17" x14ac:dyDescent="0.2">
      <c r="Q228" s="79"/>
    </row>
    <row r="229" spans="17:17" x14ac:dyDescent="0.2">
      <c r="Q229" s="79"/>
    </row>
    <row r="230" spans="17:17" x14ac:dyDescent="0.2">
      <c r="Q230" s="79"/>
    </row>
    <row r="231" spans="17:17" x14ac:dyDescent="0.2">
      <c r="Q231" s="79"/>
    </row>
    <row r="232" spans="17:17" x14ac:dyDescent="0.2">
      <c r="Q232" s="79"/>
    </row>
    <row r="233" spans="17:17" x14ac:dyDescent="0.2">
      <c r="Q233" s="79"/>
    </row>
    <row r="234" spans="17:17" x14ac:dyDescent="0.2">
      <c r="Q234" s="79"/>
    </row>
    <row r="235" spans="17:17" x14ac:dyDescent="0.2">
      <c r="Q235" s="79"/>
    </row>
    <row r="236" spans="17:17" x14ac:dyDescent="0.2">
      <c r="Q236" s="79"/>
    </row>
    <row r="237" spans="17:17" x14ac:dyDescent="0.2">
      <c r="Q237" s="79"/>
    </row>
    <row r="238" spans="17:17" x14ac:dyDescent="0.2">
      <c r="Q238" s="79"/>
    </row>
    <row r="239" spans="17:17" x14ac:dyDescent="0.2">
      <c r="Q239" s="79"/>
    </row>
    <row r="240" spans="17:17" x14ac:dyDescent="0.2">
      <c r="Q240" s="79"/>
    </row>
    <row r="241" spans="17:17" x14ac:dyDescent="0.2">
      <c r="Q241" s="79"/>
    </row>
    <row r="242" spans="17:17" x14ac:dyDescent="0.2">
      <c r="Q242" s="79"/>
    </row>
    <row r="243" spans="17:17" x14ac:dyDescent="0.2">
      <c r="Q243" s="79"/>
    </row>
    <row r="244" spans="17:17" x14ac:dyDescent="0.2">
      <c r="Q244" s="79"/>
    </row>
    <row r="245" spans="17:17" x14ac:dyDescent="0.2">
      <c r="Q245" s="79"/>
    </row>
    <row r="246" spans="17:17" x14ac:dyDescent="0.2">
      <c r="Q246" s="79"/>
    </row>
    <row r="247" spans="17:17" x14ac:dyDescent="0.2">
      <c r="Q247" s="79"/>
    </row>
    <row r="248" spans="17:17" x14ac:dyDescent="0.2">
      <c r="Q248" s="79"/>
    </row>
    <row r="249" spans="17:17" x14ac:dyDescent="0.2">
      <c r="Q249" s="79"/>
    </row>
    <row r="250" spans="17:17" x14ac:dyDescent="0.2">
      <c r="Q250" s="79"/>
    </row>
    <row r="251" spans="17:17" x14ac:dyDescent="0.2">
      <c r="Q251" s="79"/>
    </row>
    <row r="252" spans="17:17" x14ac:dyDescent="0.2">
      <c r="Q252" s="79"/>
    </row>
    <row r="253" spans="17:17" x14ac:dyDescent="0.2">
      <c r="Q253" s="79"/>
    </row>
    <row r="254" spans="17:17" x14ac:dyDescent="0.2">
      <c r="Q254" s="79"/>
    </row>
    <row r="255" spans="17:17" x14ac:dyDescent="0.2">
      <c r="Q255" s="79"/>
    </row>
    <row r="256" spans="17:17" x14ac:dyDescent="0.2">
      <c r="Q256" s="79"/>
    </row>
    <row r="257" spans="17:17" x14ac:dyDescent="0.2">
      <c r="Q257" s="79"/>
    </row>
    <row r="258" spans="17:17" x14ac:dyDescent="0.2">
      <c r="Q258" s="79"/>
    </row>
    <row r="259" spans="17:17" x14ac:dyDescent="0.2">
      <c r="Q259" s="79"/>
    </row>
    <row r="260" spans="17:17" x14ac:dyDescent="0.2">
      <c r="Q260" s="79"/>
    </row>
    <row r="261" spans="17:17" x14ac:dyDescent="0.2">
      <c r="Q261" s="79"/>
    </row>
    <row r="262" spans="17:17" x14ac:dyDescent="0.2">
      <c r="Q262" s="79"/>
    </row>
    <row r="263" spans="17:17" x14ac:dyDescent="0.2">
      <c r="Q263" s="79"/>
    </row>
    <row r="264" spans="17:17" x14ac:dyDescent="0.2">
      <c r="Q264" s="79"/>
    </row>
    <row r="265" spans="17:17" x14ac:dyDescent="0.2">
      <c r="Q265" s="79"/>
    </row>
    <row r="266" spans="17:17" x14ac:dyDescent="0.2">
      <c r="Q266"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F3" sqref="F3:F8"/>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9" customWidth="1"/>
    <col min="14" max="14" width="26.140625" style="2" customWidth="1"/>
    <col min="15" max="16" width="21.140625" style="2" customWidth="1"/>
    <col min="17" max="17" width="21.140625" style="70"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6" t="s">
        <v>53</v>
      </c>
      <c r="B1" s="121">
        <f>'Illustration Data Entry'!G26</f>
        <v>0</v>
      </c>
      <c r="O1" s="77" t="s">
        <v>59</v>
      </c>
    </row>
    <row r="2" spans="1:20" ht="16.5" thickTop="1" thickBot="1" x14ac:dyDescent="0.3">
      <c r="A2" s="117" t="s">
        <v>54</v>
      </c>
      <c r="B2" s="45">
        <f>IF('Illustration Data Entry'!G28='Illustration Data Entry'!V106,'Illustration Data Entry'!N28,0)</f>
        <v>0</v>
      </c>
      <c r="D2" s="80" t="s">
        <v>55</v>
      </c>
      <c r="E2" s="80" t="s">
        <v>56</v>
      </c>
      <c r="F2" s="80" t="s">
        <v>57</v>
      </c>
      <c r="G2" s="80" t="s">
        <v>0</v>
      </c>
      <c r="H2" s="128" t="s">
        <v>85</v>
      </c>
      <c r="I2" s="128" t="s">
        <v>86</v>
      </c>
      <c r="J2" s="129" t="s">
        <v>87</v>
      </c>
      <c r="O2" s="77" t="s">
        <v>60</v>
      </c>
    </row>
    <row r="3" spans="1:20" ht="16.5" thickTop="1" thickBot="1" x14ac:dyDescent="0.3">
      <c r="A3" s="117" t="s">
        <v>58</v>
      </c>
      <c r="B3" s="56">
        <f>IF('Illustration Data Entry'!G28='Illustration Data Entry'!V107,'Illustration Data Entry'!N28,0)</f>
        <v>0</v>
      </c>
      <c r="D3" s="73">
        <f>'Illustration Data Entry'!AJ105</f>
        <v>0</v>
      </c>
      <c r="E3" s="73">
        <f>'Illustration Data Entry'!AK105</f>
        <v>249999.99</v>
      </c>
      <c r="F3" s="125">
        <f>'Illustration Data Entry'!AL105%</f>
        <v>4.7999999999999996E-3</v>
      </c>
      <c r="G3" s="74">
        <f>F3+$B$12+$B$13+$B$14</f>
        <v>4.7999999999999996E-3</v>
      </c>
      <c r="H3" s="75">
        <f t="shared" ref="H3:H8" si="0">(((E3-D3)*G3))</f>
        <v>1199.9999519999999</v>
      </c>
      <c r="I3" s="74">
        <f t="shared" ref="I3:I8" si="1">H3/12</f>
        <v>99.999995999999996</v>
      </c>
      <c r="J3" s="75">
        <f>I3</f>
        <v>99.999995999999996</v>
      </c>
      <c r="O3" s="77" t="s">
        <v>61</v>
      </c>
    </row>
    <row r="4" spans="1:20" ht="16.5" thickTop="1" thickBot="1" x14ac:dyDescent="0.3">
      <c r="A4" s="118" t="s">
        <v>26</v>
      </c>
      <c r="B4" s="33">
        <f>'Illustration Data Entry'!V158</f>
        <v>0</v>
      </c>
      <c r="D4" s="73">
        <f>'Illustration Data Entry'!AJ106</f>
        <v>250000</v>
      </c>
      <c r="E4" s="73">
        <f>'Illustration Data Entry'!AK106</f>
        <v>999999.99</v>
      </c>
      <c r="F4" s="125">
        <f>'Illustration Data Entry'!AL106%</f>
        <v>4.7999999999999996E-3</v>
      </c>
      <c r="G4" s="74">
        <f>F4+$B$12+$B$13+$B$14</f>
        <v>4.7999999999999996E-3</v>
      </c>
      <c r="H4" s="75">
        <f t="shared" si="0"/>
        <v>3599.9999519999997</v>
      </c>
      <c r="I4" s="74">
        <f t="shared" si="1"/>
        <v>299.99999599999995</v>
      </c>
      <c r="J4" s="75">
        <f>I4+J3</f>
        <v>399.99999199999996</v>
      </c>
      <c r="O4" s="77" t="s">
        <v>62</v>
      </c>
    </row>
    <row r="5" spans="1:20" ht="16.5" thickTop="1" thickBot="1" x14ac:dyDescent="0.3">
      <c r="A5" s="119" t="s">
        <v>27</v>
      </c>
      <c r="B5" s="33">
        <f>IF('Illustration Data Entry'!G26="",0,Illustration!E40/100)</f>
        <v>0</v>
      </c>
      <c r="D5" s="73">
        <f>'Illustration Data Entry'!AJ107</f>
        <v>1000000</v>
      </c>
      <c r="E5" s="73">
        <f>'Illustration Data Entry'!AK107</f>
        <v>3999999.99</v>
      </c>
      <c r="F5" s="125">
        <f>'Illustration Data Entry'!AL107%</f>
        <v>4.7999999999999996E-3</v>
      </c>
      <c r="G5" s="74">
        <f>F5+$B$12+$B$13+$B$14</f>
        <v>4.7999999999999996E-3</v>
      </c>
      <c r="H5" s="75">
        <f t="shared" si="0"/>
        <v>14399.999952</v>
      </c>
      <c r="I5" s="74">
        <f t="shared" si="1"/>
        <v>1199.999996</v>
      </c>
      <c r="J5" s="75">
        <f>I5+J4</f>
        <v>1599.999988</v>
      </c>
      <c r="Q5" s="2"/>
    </row>
    <row r="6" spans="1:20" ht="16.5" thickTop="1" thickBot="1" x14ac:dyDescent="0.3">
      <c r="A6" s="120" t="s">
        <v>28</v>
      </c>
      <c r="B6" s="33">
        <f>IF('Illustration Data Entry'!N28="",0,Illustration!Q40/100)</f>
        <v>0</v>
      </c>
      <c r="D6" s="73">
        <f>'Illustration Data Entry'!AJ108</f>
        <v>4000000</v>
      </c>
      <c r="E6" s="73">
        <f>'Illustration Data Entry'!AK108</f>
        <v>4999999.99</v>
      </c>
      <c r="F6" s="125">
        <f>'Illustration Data Entry'!AL108%</f>
        <v>4.7999999999999996E-3</v>
      </c>
      <c r="G6" s="74">
        <f>F6+$B$12+$B$13+$B$14</f>
        <v>4.7999999999999996E-3</v>
      </c>
      <c r="H6" s="75">
        <f t="shared" si="0"/>
        <v>4799.999952000001</v>
      </c>
      <c r="I6" s="74">
        <f t="shared" si="1"/>
        <v>399.99999600000007</v>
      </c>
      <c r="J6" s="75">
        <f>I6+J5</f>
        <v>1999.999984</v>
      </c>
    </row>
    <row r="7" spans="1:20" ht="16.5" thickTop="1" thickBot="1" x14ac:dyDescent="0.3">
      <c r="A7" s="116" t="s">
        <v>88</v>
      </c>
      <c r="B7" s="130" t="str">
        <f>'Illustration Data Entry'!N67</f>
        <v>Yes</v>
      </c>
      <c r="D7" s="73">
        <f>'Illustration Data Entry'!AJ109</f>
        <v>5000000</v>
      </c>
      <c r="E7" s="73">
        <f>'Illustration Data Entry'!AK109</f>
        <v>20000000</v>
      </c>
      <c r="F7" s="125">
        <f>'Illustration Data Entry'!AL109%</f>
        <v>4.7999999999999996E-3</v>
      </c>
      <c r="G7" s="74">
        <f>F7+$B$12+$B$13+$B$14</f>
        <v>4.7999999999999996E-3</v>
      </c>
      <c r="H7" s="75">
        <f t="shared" si="0"/>
        <v>72000</v>
      </c>
      <c r="I7" s="74">
        <f t="shared" si="1"/>
        <v>6000</v>
      </c>
      <c r="J7" s="75">
        <f>I7+J6</f>
        <v>7999.999984</v>
      </c>
    </row>
    <row r="8" spans="1:20" ht="16.5" thickTop="1" thickBot="1" x14ac:dyDescent="0.25">
      <c r="A8" s="116" t="s">
        <v>52</v>
      </c>
      <c r="B8" s="121">
        <f>IF(ISBLANK('Illustration Data Entry'!N63),0,IF('Illustration Data Entry'!N22="Yes",('Illustration Data Entry'!N63)*('Illustration Data Entry'!V156),0))</f>
        <v>0</v>
      </c>
      <c r="D8" s="73">
        <f>'Illustration Data Entry'!AJ110</f>
        <v>20000000.010000002</v>
      </c>
      <c r="E8" s="73">
        <f>'Illustration Data Entry'!AK110</f>
        <v>9999999999</v>
      </c>
      <c r="F8" s="125">
        <f>'Illustration Data Entry'!AL110%</f>
        <v>4.7999999999999996E-3</v>
      </c>
      <c r="G8" s="77"/>
      <c r="H8" s="75">
        <f t="shared" si="0"/>
        <v>0</v>
      </c>
      <c r="I8" s="77">
        <f t="shared" si="1"/>
        <v>0</v>
      </c>
      <c r="J8" s="75">
        <f>I8+J7</f>
        <v>7999.999984</v>
      </c>
    </row>
    <row r="9" spans="1:20" ht="16.5" thickTop="1" thickBot="1" x14ac:dyDescent="0.25">
      <c r="A9" s="116" t="s">
        <v>127</v>
      </c>
      <c r="B9" s="123" t="str">
        <f>'Illustration Data Entry'!N74</f>
        <v>4.5%</v>
      </c>
      <c r="D9" s="73">
        <f>'Illustration Data Entry'!AJ111</f>
        <v>0</v>
      </c>
      <c r="E9" s="73">
        <f>'Illustration Data Entry'!AK111</f>
        <v>0</v>
      </c>
      <c r="F9" s="125">
        <f>'Illustration Data Entry'!AL111%</f>
        <v>0</v>
      </c>
      <c r="G9" s="77"/>
      <c r="H9" s="75"/>
      <c r="I9" s="74"/>
      <c r="J9" s="75"/>
    </row>
    <row r="10" spans="1:20" ht="16.5" thickTop="1" thickBot="1" x14ac:dyDescent="0.25">
      <c r="A10" s="116" t="s">
        <v>30</v>
      </c>
      <c r="B10" s="122">
        <f>'Illustration Data Entry'!V151</f>
        <v>0.03</v>
      </c>
    </row>
    <row r="11" spans="1:20" ht="16.5" thickTop="1" thickBot="1" x14ac:dyDescent="0.25">
      <c r="A11" s="118" t="s">
        <v>80</v>
      </c>
      <c r="B11" s="124"/>
      <c r="F11" s="32"/>
    </row>
    <row r="12" spans="1:20" ht="16.5" thickTop="1" thickBot="1" x14ac:dyDescent="0.25">
      <c r="A12" s="119" t="s">
        <v>29</v>
      </c>
      <c r="B12" s="122">
        <f>'Illustration Data Entry'!K93</f>
        <v>0</v>
      </c>
      <c r="Q12" s="2"/>
    </row>
    <row r="13" spans="1:20" ht="17.25" customHeight="1" thickTop="1" thickBot="1" x14ac:dyDescent="0.25">
      <c r="A13" s="119" t="s">
        <v>31</v>
      </c>
      <c r="B13" s="122">
        <f>'Illustration Data Entry'!V159</f>
        <v>0</v>
      </c>
    </row>
    <row r="14" spans="1:20" ht="17.25" customHeight="1" thickTop="1" thickBot="1" x14ac:dyDescent="0.25">
      <c r="A14" s="203" t="s">
        <v>140</v>
      </c>
      <c r="B14" s="122">
        <f>'Illustration Data Entry'!N82</f>
        <v>0</v>
      </c>
      <c r="O14" s="52"/>
      <c r="P14" s="53" t="s">
        <v>1</v>
      </c>
      <c r="Q14" s="54" t="s">
        <v>74</v>
      </c>
      <c r="R14" s="54" t="s">
        <v>50</v>
      </c>
      <c r="S14" s="54" t="s">
        <v>25</v>
      </c>
      <c r="T14" s="55" t="s">
        <v>7</v>
      </c>
    </row>
    <row r="15" spans="1:20" ht="16.5" thickTop="1" thickBot="1" x14ac:dyDescent="0.25">
      <c r="A15" s="72" t="s">
        <v>128</v>
      </c>
      <c r="B15" s="83">
        <f>'Illustration Data Entry'!G30</f>
        <v>0</v>
      </c>
      <c r="O15" s="81" t="s">
        <v>3</v>
      </c>
      <c r="P15" s="82">
        <f>ROUND(P39,3-LEN(INT(P39)))</f>
        <v>0</v>
      </c>
      <c r="Q15" s="82">
        <f>ROUND(Q39,0)</f>
        <v>0</v>
      </c>
      <c r="R15" s="82">
        <f>ROUND(R39,3-LEN(INT(R39)))</f>
        <v>0</v>
      </c>
      <c r="S15" s="82">
        <f>ROUND(S39,3-LEN(INT(S39)))</f>
        <v>0</v>
      </c>
      <c r="T15" s="126">
        <f>ROUND(T39,3-LEN(INT(T39)))</f>
        <v>0</v>
      </c>
    </row>
    <row r="16" spans="1:20" ht="14.25" thickTop="1" thickBot="1" x14ac:dyDescent="0.25">
      <c r="A16" s="84" t="s">
        <v>89</v>
      </c>
      <c r="B16" s="85">
        <v>0</v>
      </c>
      <c r="O16" s="81" t="s">
        <v>4</v>
      </c>
      <c r="P16" s="82">
        <f>ROUND(P63,3-LEN(INT(P63)))</f>
        <v>0</v>
      </c>
      <c r="Q16" s="82">
        <f>ROUND(Q63,0)</f>
        <v>0</v>
      </c>
      <c r="R16" s="82">
        <f>ROUND(R63,3-LEN(INT(R63)))</f>
        <v>0</v>
      </c>
      <c r="S16" s="82">
        <f>ROUND(S63,3-LEN(INT(S63)))</f>
        <v>0</v>
      </c>
      <c r="T16" s="126">
        <f>ROUND(T63,3-LEN(INT(T63)))</f>
        <v>0</v>
      </c>
    </row>
    <row r="17" spans="1:35" ht="13.5" thickBot="1" x14ac:dyDescent="0.25">
      <c r="A17" s="84" t="s">
        <v>91</v>
      </c>
      <c r="B17" s="85">
        <f>B18+B19</f>
        <v>0</v>
      </c>
      <c r="O17" s="81" t="s">
        <v>5</v>
      </c>
      <c r="P17" s="82">
        <f>ROUND(P87,3-LEN(INT(P87)))</f>
        <v>0</v>
      </c>
      <c r="Q17" s="82">
        <f>ROUND(Q87,0)</f>
        <v>0</v>
      </c>
      <c r="R17" s="82">
        <f>ROUND(R87,3-LEN(INT(R87)))</f>
        <v>0</v>
      </c>
      <c r="S17" s="82">
        <f>ROUND(S87,3-LEN(INT(S87)))</f>
        <v>0</v>
      </c>
      <c r="T17" s="126">
        <f>ROUND(T87,3-LEN(INT(T87)))</f>
        <v>0</v>
      </c>
    </row>
    <row r="18" spans="1:35" ht="13.5" thickBot="1" x14ac:dyDescent="0.25">
      <c r="A18" s="71" t="s">
        <v>90</v>
      </c>
      <c r="B18" s="76">
        <f>$B8</f>
        <v>0</v>
      </c>
      <c r="O18" s="81" t="s">
        <v>6</v>
      </c>
      <c r="P18" s="86">
        <f>ROUND(P147,3-LEN(INT(P147)))</f>
        <v>0</v>
      </c>
      <c r="Q18" s="86">
        <f>ROUND(Q147,0)</f>
        <v>0</v>
      </c>
      <c r="R18" s="86">
        <f>ROUND(R147,3-LEN(INT(R147)))</f>
        <v>0</v>
      </c>
      <c r="S18" s="86">
        <f>ROUND(S147,3-LEN(INT(S147)))</f>
        <v>0</v>
      </c>
      <c r="T18" s="127">
        <f>ROUND(T147,3-LEN(INT(T147)))</f>
        <v>0</v>
      </c>
    </row>
    <row r="19" spans="1:35" ht="13.5" thickBot="1" x14ac:dyDescent="0.25">
      <c r="B19" s="76">
        <f>B1*B5</f>
        <v>0</v>
      </c>
      <c r="O19" s="88"/>
      <c r="P19" s="89" t="s">
        <v>8</v>
      </c>
      <c r="Q19" s="87"/>
      <c r="R19" s="87"/>
      <c r="S19" s="87"/>
      <c r="T19" s="90" t="e">
        <f>B25</f>
        <v>#NUM!</v>
      </c>
    </row>
    <row r="20" spans="1:35" ht="15" x14ac:dyDescent="0.2">
      <c r="A20" s="57"/>
      <c r="B20" s="57"/>
      <c r="C20" s="178">
        <v>-0.05</v>
      </c>
      <c r="D20" s="91"/>
      <c r="E20" s="91"/>
      <c r="F20" s="91"/>
      <c r="G20" s="91"/>
      <c r="H20" s="92"/>
      <c r="I20" s="91"/>
      <c r="J20" s="91"/>
      <c r="K20" s="91"/>
      <c r="L20" s="91"/>
      <c r="M20" s="93"/>
      <c r="N20" s="91"/>
      <c r="O20" s="91"/>
      <c r="P20" s="91"/>
      <c r="Q20" s="91"/>
      <c r="R20" s="91"/>
      <c r="S20" s="91"/>
      <c r="T20" s="57"/>
      <c r="U20" s="57"/>
      <c r="V20" s="57"/>
      <c r="W20" s="57"/>
      <c r="X20" s="57"/>
      <c r="Y20" s="57"/>
    </row>
    <row r="21" spans="1:35" ht="15" x14ac:dyDescent="0.2">
      <c r="A21" s="57"/>
      <c r="B21" s="57"/>
      <c r="C21" s="58"/>
      <c r="D21" s="91"/>
      <c r="E21" s="91"/>
      <c r="F21" s="91"/>
      <c r="G21" s="91"/>
      <c r="H21" s="92"/>
      <c r="I21" s="91"/>
      <c r="J21" s="91"/>
      <c r="K21" s="91"/>
      <c r="L21" s="91"/>
      <c r="M21" s="93"/>
      <c r="N21" s="91"/>
      <c r="O21" s="91"/>
      <c r="P21" s="91"/>
      <c r="Q21" s="91"/>
      <c r="R21" s="91"/>
      <c r="S21" s="91"/>
      <c r="T21" s="57"/>
      <c r="U21" s="57"/>
      <c r="V21" s="57"/>
      <c r="W21" s="57"/>
      <c r="X21" s="57"/>
      <c r="Y21" s="57"/>
    </row>
    <row r="22" spans="1:35" ht="46.5" customHeight="1" thickBot="1" x14ac:dyDescent="0.25">
      <c r="A22" s="140"/>
      <c r="B22" s="141" t="s">
        <v>92</v>
      </c>
      <c r="C22" s="141" t="s">
        <v>93</v>
      </c>
      <c r="D22" s="141" t="s">
        <v>94</v>
      </c>
      <c r="E22" s="141" t="s">
        <v>95</v>
      </c>
      <c r="F22" s="141" t="s">
        <v>96</v>
      </c>
      <c r="G22" s="142" t="s">
        <v>97</v>
      </c>
      <c r="H22" s="142" t="s">
        <v>98</v>
      </c>
      <c r="I22" s="142" t="s">
        <v>99</v>
      </c>
      <c r="J22" s="142" t="s">
        <v>100</v>
      </c>
      <c r="K22" s="141" t="s">
        <v>101</v>
      </c>
      <c r="L22" s="143" t="s">
        <v>102</v>
      </c>
      <c r="M22" s="141" t="s">
        <v>103</v>
      </c>
      <c r="N22" s="144" t="str">
        <f>"Additional Growth at "&amp;INT(100*B9)&amp;"% 
(non-fee world)"</f>
        <v>Additional Growth at 4% 
(non-fee world)</v>
      </c>
      <c r="O22" s="143" t="s">
        <v>104</v>
      </c>
      <c r="P22" s="145" t="s">
        <v>105</v>
      </c>
      <c r="Q22" s="145" t="s">
        <v>106</v>
      </c>
      <c r="R22" s="145" t="s">
        <v>107</v>
      </c>
      <c r="S22" s="145" t="s">
        <v>108</v>
      </c>
      <c r="T22" s="145" t="s">
        <v>109</v>
      </c>
      <c r="U22" s="146" t="s">
        <v>63</v>
      </c>
      <c r="V22" s="146" t="s">
        <v>64</v>
      </c>
      <c r="W22" s="146" t="s">
        <v>65</v>
      </c>
      <c r="X22" s="146" t="s">
        <v>66</v>
      </c>
      <c r="Y22" s="146" t="s">
        <v>68</v>
      </c>
      <c r="Z22" s="71"/>
    </row>
    <row r="23" spans="1:35" s="94" customFormat="1" ht="13.5" hidden="1" thickBot="1" x14ac:dyDescent="0.25">
      <c r="A23" s="147"/>
      <c r="B23" s="148"/>
      <c r="C23" s="148" t="s">
        <v>110</v>
      </c>
      <c r="D23" s="148" t="s">
        <v>110</v>
      </c>
      <c r="E23" s="148" t="s">
        <v>24</v>
      </c>
      <c r="F23" s="148" t="s">
        <v>24</v>
      </c>
      <c r="G23" s="149" t="s">
        <v>110</v>
      </c>
      <c r="H23" s="149" t="s">
        <v>110</v>
      </c>
      <c r="I23" s="149" t="s">
        <v>111</v>
      </c>
      <c r="J23" s="149" t="s">
        <v>111</v>
      </c>
      <c r="K23" s="148" t="s">
        <v>110</v>
      </c>
      <c r="L23" s="150"/>
      <c r="M23" s="148" t="s">
        <v>110</v>
      </c>
      <c r="N23" s="151" t="s">
        <v>24</v>
      </c>
      <c r="O23" s="150"/>
      <c r="P23" s="152"/>
      <c r="Q23" s="152"/>
      <c r="R23" s="152"/>
      <c r="S23" s="152"/>
      <c r="T23" s="152"/>
      <c r="U23" s="153"/>
      <c r="V23" s="153"/>
      <c r="W23" s="153"/>
      <c r="X23" s="153"/>
      <c r="Y23" s="153"/>
      <c r="Z23" s="71"/>
      <c r="AA23" s="2"/>
      <c r="AB23" s="2"/>
      <c r="AC23" s="2"/>
      <c r="AD23" s="2"/>
      <c r="AE23" s="2"/>
      <c r="AF23" s="2"/>
      <c r="AG23" s="2"/>
      <c r="AH23" s="2"/>
      <c r="AI23" s="2"/>
    </row>
    <row r="24" spans="1:35" s="95" customFormat="1" ht="133.5" hidden="1" customHeight="1" thickBot="1" x14ac:dyDescent="0.25">
      <c r="A24" s="154"/>
      <c r="B24" s="155" t="s">
        <v>112</v>
      </c>
      <c r="C24" s="155" t="s">
        <v>113</v>
      </c>
      <c r="D24" s="155" t="s">
        <v>114</v>
      </c>
      <c r="E24" s="155" t="s">
        <v>115</v>
      </c>
      <c r="F24" s="155" t="s">
        <v>116</v>
      </c>
      <c r="G24" s="155" t="s">
        <v>117</v>
      </c>
      <c r="H24" s="156" t="s">
        <v>118</v>
      </c>
      <c r="I24" s="156" t="s">
        <v>119</v>
      </c>
      <c r="J24" s="156" t="s">
        <v>120</v>
      </c>
      <c r="K24" s="155" t="s">
        <v>121</v>
      </c>
      <c r="L24" s="157" t="s">
        <v>122</v>
      </c>
      <c r="M24" s="155" t="s">
        <v>123</v>
      </c>
      <c r="N24" s="158" t="s">
        <v>124</v>
      </c>
      <c r="O24" s="157" t="s">
        <v>125</v>
      </c>
      <c r="P24" s="159" t="s">
        <v>126</v>
      </c>
      <c r="Q24" s="159"/>
      <c r="R24" s="159"/>
      <c r="S24" s="159"/>
      <c r="T24" s="159"/>
      <c r="U24" s="160"/>
      <c r="V24" s="160"/>
      <c r="W24" s="160"/>
      <c r="X24" s="160"/>
      <c r="Y24" s="160"/>
      <c r="Z24" s="71"/>
      <c r="AA24" s="2"/>
      <c r="AB24" s="2"/>
      <c r="AC24" s="2"/>
      <c r="AD24" s="2"/>
      <c r="AE24" s="2"/>
      <c r="AF24" s="2"/>
      <c r="AG24" s="2"/>
      <c r="AH24" s="2"/>
      <c r="AI24" s="2"/>
    </row>
    <row r="25" spans="1:35" x14ac:dyDescent="0.2">
      <c r="A25" s="161" t="s">
        <v>8</v>
      </c>
      <c r="B25" s="162" t="e">
        <f>(1+IRR(B27:B147,C20))^12-1</f>
        <v>#NUM!</v>
      </c>
      <c r="C25" s="163">
        <f>B1</f>
        <v>0</v>
      </c>
      <c r="D25" s="163">
        <f>B2</f>
        <v>0</v>
      </c>
      <c r="E25" s="164" t="str">
        <f>B9</f>
        <v>4.5%</v>
      </c>
      <c r="F25" s="163"/>
      <c r="G25" s="165">
        <f>B3</f>
        <v>0</v>
      </c>
      <c r="H25" s="166">
        <f>B10</f>
        <v>0.03</v>
      </c>
      <c r="I25" s="165">
        <f>B16</f>
        <v>0</v>
      </c>
      <c r="J25" s="166"/>
      <c r="K25" s="131"/>
      <c r="L25" s="167"/>
      <c r="M25" s="131"/>
      <c r="N25" s="168"/>
      <c r="O25" s="169"/>
      <c r="P25" s="170"/>
      <c r="Q25" s="171">
        <f>C25</f>
        <v>0</v>
      </c>
      <c r="R25" s="171">
        <f>G25</f>
        <v>0</v>
      </c>
      <c r="S25" s="170"/>
      <c r="T25" s="170"/>
      <c r="U25" s="96"/>
      <c r="V25" s="96"/>
      <c r="W25" s="96"/>
      <c r="X25" s="96"/>
      <c r="Y25" s="96"/>
      <c r="Z25" s="71"/>
    </row>
    <row r="26" spans="1:35" x14ac:dyDescent="0.2">
      <c r="A26" s="172"/>
      <c r="B26" s="173"/>
      <c r="C26" s="174"/>
      <c r="D26" s="174"/>
      <c r="E26" s="175">
        <f>C28*((1+$B$9)^(1/12)-1)</f>
        <v>0</v>
      </c>
      <c r="F26" s="174"/>
      <c r="G26" s="176"/>
      <c r="H26" s="177"/>
      <c r="I26" s="176"/>
      <c r="J26" s="177"/>
      <c r="K26" s="131"/>
      <c r="L26" s="169"/>
      <c r="M26" s="131"/>
      <c r="N26" s="168"/>
      <c r="O26" s="169"/>
      <c r="P26" s="170"/>
      <c r="Q26" s="171"/>
      <c r="R26" s="171"/>
      <c r="S26" s="170"/>
      <c r="T26" s="170"/>
      <c r="U26" s="96"/>
      <c r="V26" s="96"/>
      <c r="W26" s="96"/>
      <c r="X26" s="96"/>
      <c r="Y26" s="96"/>
      <c r="Z26" s="71"/>
    </row>
    <row r="27" spans="1:35" ht="13.5" thickBot="1" x14ac:dyDescent="0.25">
      <c r="A27" s="97">
        <v>0</v>
      </c>
      <c r="B27" s="98">
        <f>-C27</f>
        <v>0</v>
      </c>
      <c r="C27" s="99">
        <f>C25-I25</f>
        <v>0</v>
      </c>
      <c r="D27" s="99"/>
      <c r="E27" s="99"/>
      <c r="F27" s="99"/>
      <c r="G27" s="98"/>
      <c r="H27" s="98"/>
      <c r="I27" s="98">
        <f>B17</f>
        <v>0</v>
      </c>
      <c r="J27" s="98"/>
      <c r="K27" s="99">
        <f>MAX(SUM(G27:J27)-SUM(C27:F27),0)</f>
        <v>0</v>
      </c>
      <c r="L27" s="100">
        <f>SUM(C27:F27)-SUM(G27:K27)+K27</f>
        <v>0</v>
      </c>
      <c r="M27" s="99"/>
      <c r="N27" s="99">
        <f>(O27-L27)</f>
        <v>0</v>
      </c>
      <c r="O27" s="100">
        <f>C27</f>
        <v>0</v>
      </c>
      <c r="P27" s="99">
        <f>SUM(N$27:N27)</f>
        <v>0</v>
      </c>
      <c r="Q27" s="99">
        <f>O27</f>
        <v>0</v>
      </c>
      <c r="R27" s="99"/>
      <c r="S27" s="99"/>
      <c r="T27" s="99"/>
      <c r="U27" s="101"/>
      <c r="V27" s="101"/>
      <c r="W27" s="101"/>
      <c r="X27" s="101"/>
      <c r="Y27" s="101"/>
      <c r="Z27" s="71"/>
    </row>
    <row r="28" spans="1:35" ht="13.5" thickTop="1" x14ac:dyDescent="0.2">
      <c r="A28" s="102">
        <v>1</v>
      </c>
      <c r="B28" s="103">
        <f t="shared" ref="B28:B56" si="2">G28+H28-D28-K28</f>
        <v>0</v>
      </c>
      <c r="C28" s="104">
        <f>L27</f>
        <v>0</v>
      </c>
      <c r="D28" s="103">
        <f t="shared" ref="D28:D59" si="3">IF(Y28&lt;&gt;"-",$B$2,0)</f>
        <v>0</v>
      </c>
      <c r="E28" s="103">
        <f t="shared" ref="E28:E59" si="4">C28*(1+$B$9)^(1/12)-C28-F28</f>
        <v>0</v>
      </c>
      <c r="F28" s="103">
        <f t="shared" ref="F28:F59" si="5">C28*(1+$B$10)^(1/12)-C28</f>
        <v>0</v>
      </c>
      <c r="G28" s="105">
        <f>IF(SUM(K$27:K27)&gt;0,0,IF(Y28&lt;&gt;"-",$B$3,0))</f>
        <v>0</v>
      </c>
      <c r="H28" s="105">
        <f t="shared" ref="H28:H59" si="6">IF($B$7="No",F28,0)</f>
        <v>0</v>
      </c>
      <c r="I28" s="105">
        <f>IF( A28&lt;12,($B$4+$B$6)*D28,IF(MOD(A28,12)=1,$B$8+($B$4+$B$6)*D28,($B$4+$B$6)*D28))</f>
        <v>0</v>
      </c>
      <c r="J28" s="105">
        <f t="shared" ref="J28:J59" si="7">VLOOKUP(C28,$D$3:$J$9,7,TRUE)-VLOOKUP(C28,$D$3:$J$9,4,TRUE)*(VLOOKUP(C28,$D$3:$J$9,2,TRUE)-C28)/12</f>
        <v>0</v>
      </c>
      <c r="K28" s="103">
        <f>MAX(SUM(G28:J28)-SUM(C28:F28),0)</f>
        <v>0</v>
      </c>
      <c r="L28" s="106">
        <f>SUM(C28:F28)-SUM(G28:J28)+K28</f>
        <v>0</v>
      </c>
      <c r="M28" s="103">
        <f>IF(SUM(K$28:K28)&gt;0,MIN(O27*(1+B$9)^(1/12),G$25-G28+K28),0)</f>
        <v>0</v>
      </c>
      <c r="N28" s="103">
        <f t="shared" ref="N28:N59" si="8">(O27-L27)*((1+B$9)^(1/12)-1)+J28+I28</f>
        <v>0</v>
      </c>
      <c r="O28" s="106">
        <f t="shared" ref="O28:O59" si="9">(O27)*(1+B$9)^(1/12)+D28-G28-H28-M28+K28/(1+B$9)</f>
        <v>0</v>
      </c>
      <c r="P28" s="103">
        <f>SUM(N$27:N28)</f>
        <v>0</v>
      </c>
      <c r="Q28" s="103">
        <f>Q27+D28</f>
        <v>0</v>
      </c>
      <c r="R28" s="103">
        <f>R27+G28</f>
        <v>0</v>
      </c>
      <c r="S28" s="103">
        <f>H28+S27</f>
        <v>0</v>
      </c>
      <c r="T28" s="103">
        <f>L28</f>
        <v>0</v>
      </c>
      <c r="U28" s="96" t="s">
        <v>67</v>
      </c>
      <c r="V28" s="96" t="str">
        <f t="shared" ref="V28:V91" si="10">IF(MOD(A28,3)=0,"q","-")</f>
        <v>-</v>
      </c>
      <c r="W28" s="96" t="str">
        <f>IF(MOD($A28,6)=0,"s","-")</f>
        <v>-</v>
      </c>
      <c r="X28" s="96" t="str">
        <f>IF(MOD($A28,12)=0,"a","-")</f>
        <v>-</v>
      </c>
      <c r="Y28" s="107" t="str">
        <f t="shared" ref="Y28:Y59" si="11">IF($B$15="Monthly",$U28,"")
&amp;IF($B$15="Quarterly",$V28,"")
&amp;IF($B$15="1/2 Yearly",$W28,"")
&amp;IF($B$15="Yearly",$X28,"")</f>
        <v/>
      </c>
      <c r="Z28" s="71"/>
    </row>
    <row r="29" spans="1:35" x14ac:dyDescent="0.2">
      <c r="A29" s="108">
        <v>2</v>
      </c>
      <c r="B29" s="109">
        <f t="shared" si="2"/>
        <v>0</v>
      </c>
      <c r="C29" s="104">
        <f>L28</f>
        <v>0</v>
      </c>
      <c r="D29" s="103">
        <f t="shared" si="3"/>
        <v>0</v>
      </c>
      <c r="E29" s="103">
        <f t="shared" si="4"/>
        <v>0</v>
      </c>
      <c r="F29" s="103">
        <f t="shared" si="5"/>
        <v>0</v>
      </c>
      <c r="G29" s="105">
        <f>IF(SUM(K$27:K28)&gt;0,0,IF(Y29&lt;&gt;"-",$B$3,0))</f>
        <v>0</v>
      </c>
      <c r="H29" s="105">
        <f t="shared" si="6"/>
        <v>0</v>
      </c>
      <c r="I29" s="105">
        <f t="shared" ref="I29:I92" si="12">IF( A29&lt;12,($B$4+$B$6)*D29,IF(MOD(A29,12)=1,$B$8+($B$4+$B$6)*D29,($B$4+$B$6)*D29))</f>
        <v>0</v>
      </c>
      <c r="J29" s="105">
        <f t="shared" si="7"/>
        <v>0</v>
      </c>
      <c r="K29" s="103">
        <f t="shared" ref="K29:K56" si="13">MAX(SUM(G29:J29)-SUM(C29:F29),0)</f>
        <v>0</v>
      </c>
      <c r="L29" s="106">
        <f>SUM(C29:F29)-SUM(G29:J29)+K29</f>
        <v>0</v>
      </c>
      <c r="M29" s="103">
        <f>IF(SUM(K$28:K29)&gt;0,MIN(O28*(1+B$9)^(1/12),G$25-G29+K29),0)</f>
        <v>0</v>
      </c>
      <c r="N29" s="103">
        <f t="shared" si="8"/>
        <v>0</v>
      </c>
      <c r="O29" s="106">
        <f t="shared" si="9"/>
        <v>0</v>
      </c>
      <c r="P29" s="103">
        <f>SUM(N$27:N29)</f>
        <v>0</v>
      </c>
      <c r="Q29" s="103">
        <f>Q28+D29</f>
        <v>0</v>
      </c>
      <c r="R29" s="103">
        <f t="shared" ref="R29:R92" si="14">R28+G29</f>
        <v>0</v>
      </c>
      <c r="S29" s="103">
        <f t="shared" ref="S29:S92" si="15">H29+S28</f>
        <v>0</v>
      </c>
      <c r="T29" s="103">
        <f t="shared" ref="T29:T92" si="16">L29</f>
        <v>0</v>
      </c>
      <c r="U29" s="96" t="s">
        <v>67</v>
      </c>
      <c r="V29" s="96" t="str">
        <f t="shared" si="10"/>
        <v>-</v>
      </c>
      <c r="W29" s="96" t="str">
        <f t="shared" ref="W29:W92" si="17">IF(MOD($A29,6)=0,"s","-")</f>
        <v>-</v>
      </c>
      <c r="X29" s="96" t="str">
        <f t="shared" ref="X29:X92" si="18">IF(MOD($A29,12)=0,"a","-")</f>
        <v>-</v>
      </c>
      <c r="Y29" s="107" t="str">
        <f t="shared" si="11"/>
        <v/>
      </c>
      <c r="Z29" s="71"/>
    </row>
    <row r="30" spans="1:35" x14ac:dyDescent="0.2">
      <c r="A30" s="108">
        <v>3</v>
      </c>
      <c r="B30" s="103">
        <f>G30+H30-D30-K30</f>
        <v>0</v>
      </c>
      <c r="C30" s="104">
        <f t="shared" ref="C30:C93" si="19">L29</f>
        <v>0</v>
      </c>
      <c r="D30" s="103">
        <f t="shared" si="3"/>
        <v>0</v>
      </c>
      <c r="E30" s="103">
        <f t="shared" si="4"/>
        <v>0</v>
      </c>
      <c r="F30" s="103">
        <f t="shared" si="5"/>
        <v>0</v>
      </c>
      <c r="G30" s="105">
        <f>IF(SUM(K$27:K29)&gt;0,0,IF(Y30&lt;&gt;"-",$B$3,0))</f>
        <v>0</v>
      </c>
      <c r="H30" s="105">
        <f t="shared" si="6"/>
        <v>0</v>
      </c>
      <c r="I30" s="105">
        <f t="shared" si="12"/>
        <v>0</v>
      </c>
      <c r="J30" s="105">
        <f t="shared" si="7"/>
        <v>0</v>
      </c>
      <c r="K30" s="103">
        <f t="shared" si="13"/>
        <v>0</v>
      </c>
      <c r="L30" s="106">
        <f t="shared" ref="L30:L56" si="20">SUM(C30:F30)-SUM(G30:J30)+K30</f>
        <v>0</v>
      </c>
      <c r="M30" s="103">
        <f>IF(SUM(K$28:K30)&gt;0,MIN(O29*(1+B$9)^(1/12),G$25-G30+K30),0)</f>
        <v>0</v>
      </c>
      <c r="N30" s="103">
        <f t="shared" si="8"/>
        <v>0</v>
      </c>
      <c r="O30" s="106">
        <f t="shared" si="9"/>
        <v>0</v>
      </c>
      <c r="P30" s="103">
        <f>SUM(N$27:N30)</f>
        <v>0</v>
      </c>
      <c r="Q30" s="103">
        <f>Q29+D30</f>
        <v>0</v>
      </c>
      <c r="R30" s="103">
        <f>R29+G30</f>
        <v>0</v>
      </c>
      <c r="S30" s="103">
        <f t="shared" si="15"/>
        <v>0</v>
      </c>
      <c r="T30" s="103">
        <f t="shared" si="16"/>
        <v>0</v>
      </c>
      <c r="U30" s="96" t="s">
        <v>67</v>
      </c>
      <c r="V30" s="96" t="str">
        <f t="shared" si="10"/>
        <v>q</v>
      </c>
      <c r="W30" s="96" t="str">
        <f t="shared" si="17"/>
        <v>-</v>
      </c>
      <c r="X30" s="96" t="str">
        <f t="shared" si="18"/>
        <v>-</v>
      </c>
      <c r="Y30" s="107" t="str">
        <f t="shared" si="11"/>
        <v/>
      </c>
      <c r="Z30" s="71"/>
    </row>
    <row r="31" spans="1:35" x14ac:dyDescent="0.2">
      <c r="A31" s="108">
        <v>4</v>
      </c>
      <c r="B31" s="103">
        <f t="shared" si="2"/>
        <v>0</v>
      </c>
      <c r="C31" s="104">
        <f t="shared" si="19"/>
        <v>0</v>
      </c>
      <c r="D31" s="103">
        <f t="shared" si="3"/>
        <v>0</v>
      </c>
      <c r="E31" s="103">
        <f t="shared" si="4"/>
        <v>0</v>
      </c>
      <c r="F31" s="103">
        <f t="shared" si="5"/>
        <v>0</v>
      </c>
      <c r="G31" s="105">
        <f>IF(SUM(K$27:K30)&gt;0,0,IF(Y31&lt;&gt;"-",$B$3,0))</f>
        <v>0</v>
      </c>
      <c r="H31" s="105">
        <f t="shared" si="6"/>
        <v>0</v>
      </c>
      <c r="I31" s="105">
        <f t="shared" si="12"/>
        <v>0</v>
      </c>
      <c r="J31" s="105">
        <f t="shared" si="7"/>
        <v>0</v>
      </c>
      <c r="K31" s="103">
        <f t="shared" si="13"/>
        <v>0</v>
      </c>
      <c r="L31" s="106">
        <f t="shared" si="20"/>
        <v>0</v>
      </c>
      <c r="M31" s="103">
        <f>IF(SUM(K$28:K31)&gt;0,MIN(O30*(1+B$9)^(1/12),G$25-G31+K31),0)</f>
        <v>0</v>
      </c>
      <c r="N31" s="103">
        <f t="shared" si="8"/>
        <v>0</v>
      </c>
      <c r="O31" s="106">
        <f t="shared" si="9"/>
        <v>0</v>
      </c>
      <c r="P31" s="103">
        <f>SUM(N$27:N31)</f>
        <v>0</v>
      </c>
      <c r="Q31" s="103">
        <f>Q30+D31</f>
        <v>0</v>
      </c>
      <c r="R31" s="103">
        <f t="shared" si="14"/>
        <v>0</v>
      </c>
      <c r="S31" s="103">
        <f>H31+S30</f>
        <v>0</v>
      </c>
      <c r="T31" s="103">
        <f>L31</f>
        <v>0</v>
      </c>
      <c r="U31" s="96" t="s">
        <v>67</v>
      </c>
      <c r="V31" s="96" t="str">
        <f t="shared" si="10"/>
        <v>-</v>
      </c>
      <c r="W31" s="96" t="str">
        <f t="shared" si="17"/>
        <v>-</v>
      </c>
      <c r="X31" s="96" t="str">
        <f t="shared" si="18"/>
        <v>-</v>
      </c>
      <c r="Y31" s="107" t="str">
        <f t="shared" si="11"/>
        <v/>
      </c>
      <c r="Z31" s="71"/>
    </row>
    <row r="32" spans="1:35" x14ac:dyDescent="0.2">
      <c r="A32" s="108">
        <v>5</v>
      </c>
      <c r="B32" s="103">
        <f>G32+H32-D32-K32</f>
        <v>0</v>
      </c>
      <c r="C32" s="104">
        <f t="shared" si="19"/>
        <v>0</v>
      </c>
      <c r="D32" s="103">
        <f t="shared" si="3"/>
        <v>0</v>
      </c>
      <c r="E32" s="103">
        <f t="shared" si="4"/>
        <v>0</v>
      </c>
      <c r="F32" s="103">
        <f t="shared" si="5"/>
        <v>0</v>
      </c>
      <c r="G32" s="105">
        <f>IF(SUM(K$27:K31)&gt;0,0,IF(Y32&lt;&gt;"-",$B$3,0))</f>
        <v>0</v>
      </c>
      <c r="H32" s="105">
        <f t="shared" si="6"/>
        <v>0</v>
      </c>
      <c r="I32" s="105">
        <f t="shared" si="12"/>
        <v>0</v>
      </c>
      <c r="J32" s="105">
        <f t="shared" si="7"/>
        <v>0</v>
      </c>
      <c r="K32" s="103">
        <f t="shared" si="13"/>
        <v>0</v>
      </c>
      <c r="L32" s="106">
        <f>SUM(C32:F32)-SUM(G32:J32)+K32</f>
        <v>0</v>
      </c>
      <c r="M32" s="103">
        <f>IF(SUM(K$28:K32)&gt;0,MIN(O31*(1+B$9)^(1/12),G$25-G32+K32),0)</f>
        <v>0</v>
      </c>
      <c r="N32" s="103">
        <f t="shared" si="8"/>
        <v>0</v>
      </c>
      <c r="O32" s="106">
        <f t="shared" si="9"/>
        <v>0</v>
      </c>
      <c r="P32" s="103">
        <f>SUM(N$27:N32)</f>
        <v>0</v>
      </c>
      <c r="Q32" s="103">
        <f t="shared" ref="Q32:Q95" si="21">Q31+D32</f>
        <v>0</v>
      </c>
      <c r="R32" s="103">
        <f t="shared" si="14"/>
        <v>0</v>
      </c>
      <c r="S32" s="103">
        <f t="shared" si="15"/>
        <v>0</v>
      </c>
      <c r="T32" s="103">
        <f t="shared" si="16"/>
        <v>0</v>
      </c>
      <c r="U32" s="96" t="s">
        <v>67</v>
      </c>
      <c r="V32" s="96" t="str">
        <f t="shared" si="10"/>
        <v>-</v>
      </c>
      <c r="W32" s="96" t="str">
        <f t="shared" si="17"/>
        <v>-</v>
      </c>
      <c r="X32" s="96" t="str">
        <f t="shared" si="18"/>
        <v>-</v>
      </c>
      <c r="Y32" s="107" t="str">
        <f t="shared" si="11"/>
        <v/>
      </c>
      <c r="Z32" s="71"/>
    </row>
    <row r="33" spans="1:26" x14ac:dyDescent="0.2">
      <c r="A33" s="108">
        <v>6</v>
      </c>
      <c r="B33" s="132">
        <f t="shared" si="2"/>
        <v>0</v>
      </c>
      <c r="C33" s="104">
        <f t="shared" si="19"/>
        <v>0</v>
      </c>
      <c r="D33" s="103">
        <f t="shared" si="3"/>
        <v>0</v>
      </c>
      <c r="E33" s="103">
        <f t="shared" si="4"/>
        <v>0</v>
      </c>
      <c r="F33" s="103">
        <f t="shared" si="5"/>
        <v>0</v>
      </c>
      <c r="G33" s="105">
        <f>IF(SUM(K$27:K32)&gt;0,0,IF(Y33&lt;&gt;"-",$B$3,0))</f>
        <v>0</v>
      </c>
      <c r="H33" s="105">
        <f t="shared" si="6"/>
        <v>0</v>
      </c>
      <c r="I33" s="105">
        <f t="shared" si="12"/>
        <v>0</v>
      </c>
      <c r="J33" s="105">
        <f t="shared" si="7"/>
        <v>0</v>
      </c>
      <c r="K33" s="103">
        <f t="shared" si="13"/>
        <v>0</v>
      </c>
      <c r="L33" s="106">
        <f t="shared" si="20"/>
        <v>0</v>
      </c>
      <c r="M33" s="103">
        <f>IF(SUM(K$28:K33)&gt;0,MIN(O32*(1+B$9)^(1/12),G$25-G33+K33),0)</f>
        <v>0</v>
      </c>
      <c r="N33" s="103">
        <f t="shared" si="8"/>
        <v>0</v>
      </c>
      <c r="O33" s="106">
        <f t="shared" si="9"/>
        <v>0</v>
      </c>
      <c r="P33" s="103">
        <f>SUM(N$27:N33)</f>
        <v>0</v>
      </c>
      <c r="Q33" s="103">
        <f t="shared" si="21"/>
        <v>0</v>
      </c>
      <c r="R33" s="103">
        <f t="shared" si="14"/>
        <v>0</v>
      </c>
      <c r="S33" s="103">
        <f t="shared" si="15"/>
        <v>0</v>
      </c>
      <c r="T33" s="103">
        <f t="shared" si="16"/>
        <v>0</v>
      </c>
      <c r="U33" s="96" t="s">
        <v>67</v>
      </c>
      <c r="V33" s="96" t="str">
        <f t="shared" si="10"/>
        <v>q</v>
      </c>
      <c r="W33" s="96" t="str">
        <f t="shared" si="17"/>
        <v>s</v>
      </c>
      <c r="X33" s="96" t="str">
        <f t="shared" si="18"/>
        <v>-</v>
      </c>
      <c r="Y33" s="107" t="str">
        <f t="shared" si="11"/>
        <v/>
      </c>
      <c r="Z33" s="71"/>
    </row>
    <row r="34" spans="1:26" x14ac:dyDescent="0.2">
      <c r="A34" s="108">
        <v>7</v>
      </c>
      <c r="B34" s="132">
        <f t="shared" si="2"/>
        <v>0</v>
      </c>
      <c r="C34" s="104">
        <f t="shared" si="19"/>
        <v>0</v>
      </c>
      <c r="D34" s="103">
        <f t="shared" si="3"/>
        <v>0</v>
      </c>
      <c r="E34" s="103">
        <f t="shared" si="4"/>
        <v>0</v>
      </c>
      <c r="F34" s="103">
        <f t="shared" si="5"/>
        <v>0</v>
      </c>
      <c r="G34" s="105">
        <f>IF(SUM(K$27:K33)&gt;0,0,IF(Y34&lt;&gt;"-",$B$3,0))</f>
        <v>0</v>
      </c>
      <c r="H34" s="105">
        <f t="shared" si="6"/>
        <v>0</v>
      </c>
      <c r="I34" s="105">
        <f t="shared" si="12"/>
        <v>0</v>
      </c>
      <c r="J34" s="105">
        <f t="shared" si="7"/>
        <v>0</v>
      </c>
      <c r="K34" s="103">
        <f t="shared" si="13"/>
        <v>0</v>
      </c>
      <c r="L34" s="106">
        <f t="shared" si="20"/>
        <v>0</v>
      </c>
      <c r="M34" s="103">
        <f>IF(SUM(K$28:K34)&gt;0,MIN(O33*(1+B$9)^(1/12),G$25-G34+K34),0)</f>
        <v>0</v>
      </c>
      <c r="N34" s="103">
        <f t="shared" si="8"/>
        <v>0</v>
      </c>
      <c r="O34" s="106">
        <f t="shared" si="9"/>
        <v>0</v>
      </c>
      <c r="P34" s="103">
        <f>SUM(N$27:N34)</f>
        <v>0</v>
      </c>
      <c r="Q34" s="103">
        <f t="shared" si="21"/>
        <v>0</v>
      </c>
      <c r="R34" s="103">
        <f t="shared" si="14"/>
        <v>0</v>
      </c>
      <c r="S34" s="103">
        <f t="shared" si="15"/>
        <v>0</v>
      </c>
      <c r="T34" s="103">
        <f t="shared" si="16"/>
        <v>0</v>
      </c>
      <c r="U34" s="96" t="s">
        <v>67</v>
      </c>
      <c r="V34" s="96" t="str">
        <f t="shared" si="10"/>
        <v>-</v>
      </c>
      <c r="W34" s="96" t="str">
        <f t="shared" si="17"/>
        <v>-</v>
      </c>
      <c r="X34" s="96" t="str">
        <f t="shared" si="18"/>
        <v>-</v>
      </c>
      <c r="Y34" s="107" t="str">
        <f t="shared" si="11"/>
        <v/>
      </c>
      <c r="Z34" s="71"/>
    </row>
    <row r="35" spans="1:26" x14ac:dyDescent="0.2">
      <c r="A35" s="108">
        <v>8</v>
      </c>
      <c r="B35" s="132">
        <f t="shared" si="2"/>
        <v>0</v>
      </c>
      <c r="C35" s="104">
        <f t="shared" si="19"/>
        <v>0</v>
      </c>
      <c r="D35" s="103">
        <f t="shared" si="3"/>
        <v>0</v>
      </c>
      <c r="E35" s="103">
        <f t="shared" si="4"/>
        <v>0</v>
      </c>
      <c r="F35" s="103">
        <f t="shared" si="5"/>
        <v>0</v>
      </c>
      <c r="G35" s="105">
        <f>IF(SUM(K$27:K34)&gt;0,0,IF(Y35&lt;&gt;"-",$B$3,0))</f>
        <v>0</v>
      </c>
      <c r="H35" s="105">
        <f t="shared" si="6"/>
        <v>0</v>
      </c>
      <c r="I35" s="105">
        <f t="shared" si="12"/>
        <v>0</v>
      </c>
      <c r="J35" s="105">
        <f t="shared" si="7"/>
        <v>0</v>
      </c>
      <c r="K35" s="103">
        <f t="shared" si="13"/>
        <v>0</v>
      </c>
      <c r="L35" s="106">
        <f t="shared" si="20"/>
        <v>0</v>
      </c>
      <c r="M35" s="103">
        <f>IF(SUM(K$28:K35)&gt;0,MIN(O34*(1+B$9)^(1/12),G$25-G35+K35),0)</f>
        <v>0</v>
      </c>
      <c r="N35" s="103">
        <f t="shared" si="8"/>
        <v>0</v>
      </c>
      <c r="O35" s="106">
        <f t="shared" si="9"/>
        <v>0</v>
      </c>
      <c r="P35" s="103">
        <f>SUM(N$27:N35)</f>
        <v>0</v>
      </c>
      <c r="Q35" s="103">
        <f t="shared" si="21"/>
        <v>0</v>
      </c>
      <c r="R35" s="103">
        <f t="shared" si="14"/>
        <v>0</v>
      </c>
      <c r="S35" s="103">
        <f t="shared" si="15"/>
        <v>0</v>
      </c>
      <c r="T35" s="103">
        <f t="shared" si="16"/>
        <v>0</v>
      </c>
      <c r="U35" s="96" t="s">
        <v>67</v>
      </c>
      <c r="V35" s="96" t="str">
        <f t="shared" si="10"/>
        <v>-</v>
      </c>
      <c r="W35" s="96" t="str">
        <f t="shared" si="17"/>
        <v>-</v>
      </c>
      <c r="X35" s="96" t="str">
        <f t="shared" si="18"/>
        <v>-</v>
      </c>
      <c r="Y35" s="107" t="str">
        <f t="shared" si="11"/>
        <v/>
      </c>
      <c r="Z35" s="71"/>
    </row>
    <row r="36" spans="1:26" x14ac:dyDescent="0.2">
      <c r="A36" s="108">
        <v>9</v>
      </c>
      <c r="B36" s="132">
        <f t="shared" si="2"/>
        <v>0</v>
      </c>
      <c r="C36" s="104">
        <f t="shared" si="19"/>
        <v>0</v>
      </c>
      <c r="D36" s="103">
        <f t="shared" si="3"/>
        <v>0</v>
      </c>
      <c r="E36" s="103">
        <f t="shared" si="4"/>
        <v>0</v>
      </c>
      <c r="F36" s="103">
        <f t="shared" si="5"/>
        <v>0</v>
      </c>
      <c r="G36" s="105">
        <f>IF(SUM(K$27:K35)&gt;0,0,IF(Y36&lt;&gt;"-",$B$3,0))</f>
        <v>0</v>
      </c>
      <c r="H36" s="105">
        <f t="shared" si="6"/>
        <v>0</v>
      </c>
      <c r="I36" s="105">
        <f t="shared" si="12"/>
        <v>0</v>
      </c>
      <c r="J36" s="105">
        <f t="shared" si="7"/>
        <v>0</v>
      </c>
      <c r="K36" s="103">
        <f t="shared" si="13"/>
        <v>0</v>
      </c>
      <c r="L36" s="106">
        <f t="shared" si="20"/>
        <v>0</v>
      </c>
      <c r="M36" s="103">
        <f>IF(SUM(K$28:K36)&gt;0,MIN(O35*(1+B$9)^(1/12),G$25-G36+K36),0)</f>
        <v>0</v>
      </c>
      <c r="N36" s="103">
        <f t="shared" si="8"/>
        <v>0</v>
      </c>
      <c r="O36" s="106">
        <f t="shared" si="9"/>
        <v>0</v>
      </c>
      <c r="P36" s="103">
        <f>SUM(N$27:N36)</f>
        <v>0</v>
      </c>
      <c r="Q36" s="103">
        <f t="shared" si="21"/>
        <v>0</v>
      </c>
      <c r="R36" s="103">
        <f t="shared" si="14"/>
        <v>0</v>
      </c>
      <c r="S36" s="103">
        <f t="shared" si="15"/>
        <v>0</v>
      </c>
      <c r="T36" s="103">
        <f t="shared" si="16"/>
        <v>0</v>
      </c>
      <c r="U36" s="96" t="s">
        <v>67</v>
      </c>
      <c r="V36" s="96" t="str">
        <f t="shared" si="10"/>
        <v>q</v>
      </c>
      <c r="W36" s="96" t="str">
        <f t="shared" si="17"/>
        <v>-</v>
      </c>
      <c r="X36" s="96" t="str">
        <f t="shared" si="18"/>
        <v>-</v>
      </c>
      <c r="Y36" s="107" t="str">
        <f t="shared" si="11"/>
        <v/>
      </c>
      <c r="Z36" s="71"/>
    </row>
    <row r="37" spans="1:26" x14ac:dyDescent="0.2">
      <c r="A37" s="108">
        <v>10</v>
      </c>
      <c r="B37" s="132">
        <f t="shared" si="2"/>
        <v>0</v>
      </c>
      <c r="C37" s="104">
        <f t="shared" si="19"/>
        <v>0</v>
      </c>
      <c r="D37" s="103">
        <f t="shared" si="3"/>
        <v>0</v>
      </c>
      <c r="E37" s="103">
        <f t="shared" si="4"/>
        <v>0</v>
      </c>
      <c r="F37" s="103">
        <f t="shared" si="5"/>
        <v>0</v>
      </c>
      <c r="G37" s="105">
        <f>IF(SUM(K$27:K36)&gt;0,0,IF(Y37&lt;&gt;"-",$B$3,0))</f>
        <v>0</v>
      </c>
      <c r="H37" s="105">
        <f t="shared" si="6"/>
        <v>0</v>
      </c>
      <c r="I37" s="105">
        <f t="shared" si="12"/>
        <v>0</v>
      </c>
      <c r="J37" s="105">
        <f t="shared" si="7"/>
        <v>0</v>
      </c>
      <c r="K37" s="103">
        <f t="shared" si="13"/>
        <v>0</v>
      </c>
      <c r="L37" s="106">
        <f t="shared" si="20"/>
        <v>0</v>
      </c>
      <c r="M37" s="103">
        <f>IF(SUM(K$28:K37)&gt;0,MIN(O36*(1+B$9)^(1/12),G$25-G37+K37),0)</f>
        <v>0</v>
      </c>
      <c r="N37" s="103">
        <f t="shared" si="8"/>
        <v>0</v>
      </c>
      <c r="O37" s="106">
        <f t="shared" si="9"/>
        <v>0</v>
      </c>
      <c r="P37" s="103">
        <f>SUM(N$27:N37)</f>
        <v>0</v>
      </c>
      <c r="Q37" s="103">
        <f t="shared" si="21"/>
        <v>0</v>
      </c>
      <c r="R37" s="103">
        <f t="shared" si="14"/>
        <v>0</v>
      </c>
      <c r="S37" s="103">
        <f t="shared" si="15"/>
        <v>0</v>
      </c>
      <c r="T37" s="103">
        <f t="shared" si="16"/>
        <v>0</v>
      </c>
      <c r="U37" s="96" t="s">
        <v>67</v>
      </c>
      <c r="V37" s="96" t="str">
        <f t="shared" si="10"/>
        <v>-</v>
      </c>
      <c r="W37" s="96" t="str">
        <f t="shared" si="17"/>
        <v>-</v>
      </c>
      <c r="X37" s="96" t="str">
        <f t="shared" si="18"/>
        <v>-</v>
      </c>
      <c r="Y37" s="107" t="str">
        <f t="shared" si="11"/>
        <v/>
      </c>
      <c r="Z37" s="71"/>
    </row>
    <row r="38" spans="1:26" x14ac:dyDescent="0.2">
      <c r="A38" s="108">
        <v>11</v>
      </c>
      <c r="B38" s="132">
        <f t="shared" si="2"/>
        <v>0</v>
      </c>
      <c r="C38" s="104">
        <f t="shared" si="19"/>
        <v>0</v>
      </c>
      <c r="D38" s="103">
        <f t="shared" si="3"/>
        <v>0</v>
      </c>
      <c r="E38" s="103">
        <f t="shared" si="4"/>
        <v>0</v>
      </c>
      <c r="F38" s="103">
        <f t="shared" si="5"/>
        <v>0</v>
      </c>
      <c r="G38" s="105">
        <f>IF(SUM(K$27:K37)&gt;0,0,IF(Y38&lt;&gt;"-",$B$3,0))</f>
        <v>0</v>
      </c>
      <c r="H38" s="105">
        <f t="shared" si="6"/>
        <v>0</v>
      </c>
      <c r="I38" s="105">
        <f t="shared" si="12"/>
        <v>0</v>
      </c>
      <c r="J38" s="105">
        <f t="shared" si="7"/>
        <v>0</v>
      </c>
      <c r="K38" s="103">
        <f t="shared" si="13"/>
        <v>0</v>
      </c>
      <c r="L38" s="106">
        <f t="shared" si="20"/>
        <v>0</v>
      </c>
      <c r="M38" s="103">
        <f>IF(SUM(K$28:K38)&gt;0,MIN(O37*(1+B$9)^(1/12),G$25-G38+K38),0)</f>
        <v>0</v>
      </c>
      <c r="N38" s="103">
        <f t="shared" si="8"/>
        <v>0</v>
      </c>
      <c r="O38" s="106">
        <f t="shared" si="9"/>
        <v>0</v>
      </c>
      <c r="P38" s="103">
        <f>SUM(N$27:N38)</f>
        <v>0</v>
      </c>
      <c r="Q38" s="103">
        <f t="shared" si="21"/>
        <v>0</v>
      </c>
      <c r="R38" s="103">
        <f t="shared" si="14"/>
        <v>0</v>
      </c>
      <c r="S38" s="103">
        <f t="shared" si="15"/>
        <v>0</v>
      </c>
      <c r="T38" s="103">
        <f t="shared" si="16"/>
        <v>0</v>
      </c>
      <c r="U38" s="96" t="s">
        <v>67</v>
      </c>
      <c r="V38" s="96" t="str">
        <f t="shared" si="10"/>
        <v>-</v>
      </c>
      <c r="W38" s="96" t="str">
        <f t="shared" si="17"/>
        <v>-</v>
      </c>
      <c r="X38" s="96" t="str">
        <f t="shared" si="18"/>
        <v>-</v>
      </c>
      <c r="Y38" s="107" t="str">
        <f t="shared" si="11"/>
        <v/>
      </c>
      <c r="Z38" s="71"/>
    </row>
    <row r="39" spans="1:26" x14ac:dyDescent="0.2">
      <c r="A39" s="110">
        <v>12</v>
      </c>
      <c r="B39" s="111">
        <f t="shared" si="2"/>
        <v>0</v>
      </c>
      <c r="C39" s="111">
        <f t="shared" si="19"/>
        <v>0</v>
      </c>
      <c r="D39" s="111">
        <f t="shared" si="3"/>
        <v>0</v>
      </c>
      <c r="E39" s="111">
        <f t="shared" si="4"/>
        <v>0</v>
      </c>
      <c r="F39" s="111">
        <f t="shared" si="5"/>
        <v>0</v>
      </c>
      <c r="G39" s="112">
        <f>IF(SUM(K$27:K38)&gt;0,0,IF(Y39&lt;&gt;"-",$B$3,0))</f>
        <v>0</v>
      </c>
      <c r="H39" s="112">
        <f t="shared" si="6"/>
        <v>0</v>
      </c>
      <c r="I39" s="112">
        <f t="shared" si="12"/>
        <v>0</v>
      </c>
      <c r="J39" s="112">
        <f t="shared" si="7"/>
        <v>0</v>
      </c>
      <c r="K39" s="111">
        <f t="shared" si="13"/>
        <v>0</v>
      </c>
      <c r="L39" s="113">
        <f>SUM(C39:F39)-SUM(G39:J39)+K39</f>
        <v>0</v>
      </c>
      <c r="M39" s="111">
        <f>IF(SUM(K$28:K39)&gt;0,MIN(O38*(1+B$9)^(1/12),G$25-G39+K39),0)</f>
        <v>0</v>
      </c>
      <c r="N39" s="111">
        <f t="shared" si="8"/>
        <v>0</v>
      </c>
      <c r="O39" s="113">
        <f t="shared" si="9"/>
        <v>0</v>
      </c>
      <c r="P39" s="111">
        <f>SUM(N$27:N39)</f>
        <v>0</v>
      </c>
      <c r="Q39" s="111">
        <f>Q38+D39</f>
        <v>0</v>
      </c>
      <c r="R39" s="111">
        <f>R38+G39</f>
        <v>0</v>
      </c>
      <c r="S39" s="111">
        <f>H39+S38</f>
        <v>0</v>
      </c>
      <c r="T39" s="111">
        <f t="shared" si="16"/>
        <v>0</v>
      </c>
      <c r="U39" s="101" t="s">
        <v>67</v>
      </c>
      <c r="V39" s="101" t="str">
        <f t="shared" si="10"/>
        <v>q</v>
      </c>
      <c r="W39" s="101" t="str">
        <f t="shared" si="17"/>
        <v>s</v>
      </c>
      <c r="X39" s="101" t="str">
        <f t="shared" si="18"/>
        <v>a</v>
      </c>
      <c r="Y39" s="107" t="str">
        <f t="shared" si="11"/>
        <v/>
      </c>
      <c r="Z39" s="71"/>
    </row>
    <row r="40" spans="1:26" x14ac:dyDescent="0.2">
      <c r="A40" s="108">
        <v>13</v>
      </c>
      <c r="B40" s="132">
        <f t="shared" si="2"/>
        <v>0</v>
      </c>
      <c r="C40" s="104">
        <f t="shared" si="19"/>
        <v>0</v>
      </c>
      <c r="D40" s="132">
        <f t="shared" si="3"/>
        <v>0</v>
      </c>
      <c r="E40" s="132">
        <f t="shared" si="4"/>
        <v>0</v>
      </c>
      <c r="F40" s="132">
        <f t="shared" si="5"/>
        <v>0</v>
      </c>
      <c r="G40" s="114">
        <f>IF(SUM(K$27:K39)&gt;0,0,IF(Y40&lt;&gt;"-",$B$3,0))</f>
        <v>0</v>
      </c>
      <c r="H40" s="114">
        <f t="shared" si="6"/>
        <v>0</v>
      </c>
      <c r="I40" s="105">
        <f t="shared" si="12"/>
        <v>0</v>
      </c>
      <c r="J40" s="105">
        <f t="shared" si="7"/>
        <v>0</v>
      </c>
      <c r="K40" s="132">
        <f t="shared" si="13"/>
        <v>0</v>
      </c>
      <c r="L40" s="133">
        <f t="shared" si="20"/>
        <v>0</v>
      </c>
      <c r="M40" s="132">
        <f>IF(SUM(K$28:K40)&gt;0,MIN(O39*(1+B$9)^(1/12),G$25-G40+K40),0)</f>
        <v>0</v>
      </c>
      <c r="N40" s="132">
        <f t="shared" si="8"/>
        <v>0</v>
      </c>
      <c r="O40" s="133">
        <f t="shared" si="9"/>
        <v>0</v>
      </c>
      <c r="P40" s="103">
        <f>SUM(N$27:N40)</f>
        <v>0</v>
      </c>
      <c r="Q40" s="103">
        <f t="shared" si="21"/>
        <v>0</v>
      </c>
      <c r="R40" s="103">
        <f t="shared" si="14"/>
        <v>0</v>
      </c>
      <c r="S40" s="103">
        <f t="shared" si="15"/>
        <v>0</v>
      </c>
      <c r="T40" s="103">
        <f t="shared" si="16"/>
        <v>0</v>
      </c>
      <c r="U40" s="96" t="s">
        <v>67</v>
      </c>
      <c r="V40" s="96" t="str">
        <f t="shared" si="10"/>
        <v>-</v>
      </c>
      <c r="W40" s="96" t="str">
        <f t="shared" si="17"/>
        <v>-</v>
      </c>
      <c r="X40" s="96" t="str">
        <f t="shared" si="18"/>
        <v>-</v>
      </c>
      <c r="Y40" s="107" t="str">
        <f t="shared" si="11"/>
        <v/>
      </c>
      <c r="Z40" s="71"/>
    </row>
    <row r="41" spans="1:26" x14ac:dyDescent="0.2">
      <c r="A41" s="108">
        <v>14</v>
      </c>
      <c r="B41" s="132">
        <f t="shared" si="2"/>
        <v>0</v>
      </c>
      <c r="C41" s="104">
        <f t="shared" si="19"/>
        <v>0</v>
      </c>
      <c r="D41" s="132">
        <f t="shared" si="3"/>
        <v>0</v>
      </c>
      <c r="E41" s="132">
        <f t="shared" si="4"/>
        <v>0</v>
      </c>
      <c r="F41" s="132">
        <f t="shared" si="5"/>
        <v>0</v>
      </c>
      <c r="G41" s="114">
        <f>IF(SUM(K$27:K40)&gt;0,0,IF(Y41&lt;&gt;"-",$B$3,0))</f>
        <v>0</v>
      </c>
      <c r="H41" s="114">
        <f t="shared" si="6"/>
        <v>0</v>
      </c>
      <c r="I41" s="105">
        <f t="shared" si="12"/>
        <v>0</v>
      </c>
      <c r="J41" s="105">
        <f t="shared" si="7"/>
        <v>0</v>
      </c>
      <c r="K41" s="132">
        <f t="shared" si="13"/>
        <v>0</v>
      </c>
      <c r="L41" s="133">
        <f t="shared" si="20"/>
        <v>0</v>
      </c>
      <c r="M41" s="132">
        <f>IF(SUM(K$28:K41)&gt;0,MIN(O40*(1+B$9)^(1/12),G$25-G41+K41),0)</f>
        <v>0</v>
      </c>
      <c r="N41" s="132">
        <f t="shared" si="8"/>
        <v>0</v>
      </c>
      <c r="O41" s="133">
        <f t="shared" si="9"/>
        <v>0</v>
      </c>
      <c r="P41" s="103">
        <f>SUM(N$27:N41)</f>
        <v>0</v>
      </c>
      <c r="Q41" s="103">
        <f t="shared" si="21"/>
        <v>0</v>
      </c>
      <c r="R41" s="103">
        <f t="shared" si="14"/>
        <v>0</v>
      </c>
      <c r="S41" s="103">
        <f t="shared" si="15"/>
        <v>0</v>
      </c>
      <c r="T41" s="103">
        <f t="shared" si="16"/>
        <v>0</v>
      </c>
      <c r="U41" s="96" t="s">
        <v>67</v>
      </c>
      <c r="V41" s="96" t="str">
        <f t="shared" si="10"/>
        <v>-</v>
      </c>
      <c r="W41" s="96" t="str">
        <f t="shared" si="17"/>
        <v>-</v>
      </c>
      <c r="X41" s="96" t="str">
        <f t="shared" si="18"/>
        <v>-</v>
      </c>
      <c r="Y41" s="107" t="str">
        <f t="shared" si="11"/>
        <v/>
      </c>
      <c r="Z41" s="71"/>
    </row>
    <row r="42" spans="1:26" x14ac:dyDescent="0.2">
      <c r="A42" s="108">
        <v>15</v>
      </c>
      <c r="B42" s="132">
        <f t="shared" si="2"/>
        <v>0</v>
      </c>
      <c r="C42" s="104">
        <f t="shared" si="19"/>
        <v>0</v>
      </c>
      <c r="D42" s="132">
        <f t="shared" si="3"/>
        <v>0</v>
      </c>
      <c r="E42" s="132">
        <f t="shared" si="4"/>
        <v>0</v>
      </c>
      <c r="F42" s="132">
        <f t="shared" si="5"/>
        <v>0</v>
      </c>
      <c r="G42" s="114">
        <f>IF(SUM(K$27:K41)&gt;0,0,IF(Y42&lt;&gt;"-",$B$3,0))</f>
        <v>0</v>
      </c>
      <c r="H42" s="114">
        <f t="shared" si="6"/>
        <v>0</v>
      </c>
      <c r="I42" s="105">
        <f t="shared" si="12"/>
        <v>0</v>
      </c>
      <c r="J42" s="105">
        <f t="shared" si="7"/>
        <v>0</v>
      </c>
      <c r="K42" s="132">
        <f t="shared" si="13"/>
        <v>0</v>
      </c>
      <c r="L42" s="133">
        <f t="shared" si="20"/>
        <v>0</v>
      </c>
      <c r="M42" s="132">
        <f>IF(SUM(K$28:K42)&gt;0,MIN(O41*(1+B$9)^(1/12),G$25-G42+K42),0)</f>
        <v>0</v>
      </c>
      <c r="N42" s="132">
        <f t="shared" si="8"/>
        <v>0</v>
      </c>
      <c r="O42" s="133">
        <f t="shared" si="9"/>
        <v>0</v>
      </c>
      <c r="P42" s="103">
        <f>SUM(N$27:N42)</f>
        <v>0</v>
      </c>
      <c r="Q42" s="103">
        <f t="shared" si="21"/>
        <v>0</v>
      </c>
      <c r="R42" s="103">
        <f t="shared" si="14"/>
        <v>0</v>
      </c>
      <c r="S42" s="103">
        <f t="shared" si="15"/>
        <v>0</v>
      </c>
      <c r="T42" s="103">
        <f t="shared" si="16"/>
        <v>0</v>
      </c>
      <c r="U42" s="96" t="s">
        <v>67</v>
      </c>
      <c r="V42" s="96" t="str">
        <f t="shared" si="10"/>
        <v>q</v>
      </c>
      <c r="W42" s="96" t="str">
        <f t="shared" si="17"/>
        <v>-</v>
      </c>
      <c r="X42" s="96" t="str">
        <f t="shared" si="18"/>
        <v>-</v>
      </c>
      <c r="Y42" s="107" t="str">
        <f t="shared" si="11"/>
        <v/>
      </c>
      <c r="Z42" s="71"/>
    </row>
    <row r="43" spans="1:26" x14ac:dyDescent="0.2">
      <c r="A43" s="108">
        <v>16</v>
      </c>
      <c r="B43" s="132">
        <f t="shared" si="2"/>
        <v>0</v>
      </c>
      <c r="C43" s="104">
        <f t="shared" si="19"/>
        <v>0</v>
      </c>
      <c r="D43" s="132">
        <f t="shared" si="3"/>
        <v>0</v>
      </c>
      <c r="E43" s="132">
        <f t="shared" si="4"/>
        <v>0</v>
      </c>
      <c r="F43" s="132">
        <f t="shared" si="5"/>
        <v>0</v>
      </c>
      <c r="G43" s="114">
        <f>IF(SUM(K$27:K42)&gt;0,0,IF(Y43&lt;&gt;"-",$B$3,0))</f>
        <v>0</v>
      </c>
      <c r="H43" s="114">
        <f t="shared" si="6"/>
        <v>0</v>
      </c>
      <c r="I43" s="105">
        <f t="shared" si="12"/>
        <v>0</v>
      </c>
      <c r="J43" s="105">
        <f t="shared" si="7"/>
        <v>0</v>
      </c>
      <c r="K43" s="132">
        <f t="shared" si="13"/>
        <v>0</v>
      </c>
      <c r="L43" s="133">
        <f t="shared" si="20"/>
        <v>0</v>
      </c>
      <c r="M43" s="132">
        <f>IF(SUM(K$28:K43)&gt;0,MIN(O42*(1+B$9)^(1/12),G$25-G43+K43),0)</f>
        <v>0</v>
      </c>
      <c r="N43" s="132">
        <f t="shared" si="8"/>
        <v>0</v>
      </c>
      <c r="O43" s="133">
        <f t="shared" si="9"/>
        <v>0</v>
      </c>
      <c r="P43" s="103">
        <f>SUM(N$27:N43)</f>
        <v>0</v>
      </c>
      <c r="Q43" s="103">
        <f t="shared" si="21"/>
        <v>0</v>
      </c>
      <c r="R43" s="103">
        <f t="shared" si="14"/>
        <v>0</v>
      </c>
      <c r="S43" s="103">
        <f t="shared" si="15"/>
        <v>0</v>
      </c>
      <c r="T43" s="103">
        <f t="shared" si="16"/>
        <v>0</v>
      </c>
      <c r="U43" s="96" t="s">
        <v>67</v>
      </c>
      <c r="V43" s="96" t="str">
        <f t="shared" si="10"/>
        <v>-</v>
      </c>
      <c r="W43" s="96" t="str">
        <f t="shared" si="17"/>
        <v>-</v>
      </c>
      <c r="X43" s="96" t="str">
        <f t="shared" si="18"/>
        <v>-</v>
      </c>
      <c r="Y43" s="107" t="str">
        <f t="shared" si="11"/>
        <v/>
      </c>
      <c r="Z43" s="71"/>
    </row>
    <row r="44" spans="1:26" x14ac:dyDescent="0.2">
      <c r="A44" s="108">
        <v>17</v>
      </c>
      <c r="B44" s="132">
        <f t="shared" si="2"/>
        <v>0</v>
      </c>
      <c r="C44" s="104">
        <f t="shared" si="19"/>
        <v>0</v>
      </c>
      <c r="D44" s="132">
        <f t="shared" si="3"/>
        <v>0</v>
      </c>
      <c r="E44" s="132">
        <f t="shared" si="4"/>
        <v>0</v>
      </c>
      <c r="F44" s="132">
        <f t="shared" si="5"/>
        <v>0</v>
      </c>
      <c r="G44" s="114">
        <f>IF(SUM(K$27:K43)&gt;0,0,IF(Y44&lt;&gt;"-",$B$3,0))</f>
        <v>0</v>
      </c>
      <c r="H44" s="114">
        <f t="shared" si="6"/>
        <v>0</v>
      </c>
      <c r="I44" s="105">
        <f t="shared" si="12"/>
        <v>0</v>
      </c>
      <c r="J44" s="105">
        <f t="shared" si="7"/>
        <v>0</v>
      </c>
      <c r="K44" s="132">
        <f t="shared" si="13"/>
        <v>0</v>
      </c>
      <c r="L44" s="133">
        <f t="shared" si="20"/>
        <v>0</v>
      </c>
      <c r="M44" s="132">
        <f>IF(SUM(K$28:K44)&gt;0,MIN(O43*(1+B$9)^(1/12),G$25-G44+K44),0)</f>
        <v>0</v>
      </c>
      <c r="N44" s="132">
        <f t="shared" si="8"/>
        <v>0</v>
      </c>
      <c r="O44" s="133">
        <f t="shared" si="9"/>
        <v>0</v>
      </c>
      <c r="P44" s="103">
        <f>SUM(N$27:N44)</f>
        <v>0</v>
      </c>
      <c r="Q44" s="103">
        <f t="shared" si="21"/>
        <v>0</v>
      </c>
      <c r="R44" s="103">
        <f t="shared" si="14"/>
        <v>0</v>
      </c>
      <c r="S44" s="103">
        <f t="shared" si="15"/>
        <v>0</v>
      </c>
      <c r="T44" s="103">
        <f t="shared" si="16"/>
        <v>0</v>
      </c>
      <c r="U44" s="96" t="s">
        <v>67</v>
      </c>
      <c r="V44" s="96" t="str">
        <f t="shared" si="10"/>
        <v>-</v>
      </c>
      <c r="W44" s="96" t="str">
        <f t="shared" si="17"/>
        <v>-</v>
      </c>
      <c r="X44" s="96" t="str">
        <f t="shared" si="18"/>
        <v>-</v>
      </c>
      <c r="Y44" s="107" t="str">
        <f t="shared" si="11"/>
        <v/>
      </c>
      <c r="Z44" s="71"/>
    </row>
    <row r="45" spans="1:26" x14ac:dyDescent="0.2">
      <c r="A45" s="108">
        <v>18</v>
      </c>
      <c r="B45" s="132">
        <f t="shared" si="2"/>
        <v>0</v>
      </c>
      <c r="C45" s="104">
        <f t="shared" si="19"/>
        <v>0</v>
      </c>
      <c r="D45" s="132">
        <f t="shared" si="3"/>
        <v>0</v>
      </c>
      <c r="E45" s="132">
        <f t="shared" si="4"/>
        <v>0</v>
      </c>
      <c r="F45" s="132">
        <f t="shared" si="5"/>
        <v>0</v>
      </c>
      <c r="G45" s="114">
        <f>IF(SUM(K$27:K44)&gt;0,0,IF(Y45&lt;&gt;"-",$B$3,0))</f>
        <v>0</v>
      </c>
      <c r="H45" s="114">
        <f t="shared" si="6"/>
        <v>0</v>
      </c>
      <c r="I45" s="105">
        <f t="shared" si="12"/>
        <v>0</v>
      </c>
      <c r="J45" s="105">
        <f t="shared" si="7"/>
        <v>0</v>
      </c>
      <c r="K45" s="132">
        <f t="shared" si="13"/>
        <v>0</v>
      </c>
      <c r="L45" s="133">
        <f t="shared" si="20"/>
        <v>0</v>
      </c>
      <c r="M45" s="132">
        <f>IF(SUM(K$28:K45)&gt;0,MIN(O44*(1+B$9)^(1/12),G$25-G45+K45),0)</f>
        <v>0</v>
      </c>
      <c r="N45" s="132">
        <f t="shared" si="8"/>
        <v>0</v>
      </c>
      <c r="O45" s="133">
        <f t="shared" si="9"/>
        <v>0</v>
      </c>
      <c r="P45" s="103">
        <f>SUM(N$27:N45)</f>
        <v>0</v>
      </c>
      <c r="Q45" s="103">
        <f t="shared" si="21"/>
        <v>0</v>
      </c>
      <c r="R45" s="103">
        <f t="shared" si="14"/>
        <v>0</v>
      </c>
      <c r="S45" s="103">
        <f t="shared" si="15"/>
        <v>0</v>
      </c>
      <c r="T45" s="103">
        <f t="shared" si="16"/>
        <v>0</v>
      </c>
      <c r="U45" s="96" t="s">
        <v>67</v>
      </c>
      <c r="V45" s="96" t="str">
        <f t="shared" si="10"/>
        <v>q</v>
      </c>
      <c r="W45" s="96" t="str">
        <f t="shared" si="17"/>
        <v>s</v>
      </c>
      <c r="X45" s="96" t="str">
        <f t="shared" si="18"/>
        <v>-</v>
      </c>
      <c r="Y45" s="107" t="str">
        <f t="shared" si="11"/>
        <v/>
      </c>
      <c r="Z45" s="71"/>
    </row>
    <row r="46" spans="1:26" x14ac:dyDescent="0.2">
      <c r="A46" s="108">
        <v>19</v>
      </c>
      <c r="B46" s="132">
        <f t="shared" si="2"/>
        <v>0</v>
      </c>
      <c r="C46" s="104">
        <f t="shared" si="19"/>
        <v>0</v>
      </c>
      <c r="D46" s="132">
        <f t="shared" si="3"/>
        <v>0</v>
      </c>
      <c r="E46" s="132">
        <f t="shared" si="4"/>
        <v>0</v>
      </c>
      <c r="F46" s="132">
        <f t="shared" si="5"/>
        <v>0</v>
      </c>
      <c r="G46" s="114">
        <f>IF(SUM(K$27:K45)&gt;0,0,IF(Y46&lt;&gt;"-",$B$3,0))</f>
        <v>0</v>
      </c>
      <c r="H46" s="114">
        <f t="shared" si="6"/>
        <v>0</v>
      </c>
      <c r="I46" s="105">
        <f t="shared" si="12"/>
        <v>0</v>
      </c>
      <c r="J46" s="105">
        <f t="shared" si="7"/>
        <v>0</v>
      </c>
      <c r="K46" s="132">
        <f t="shared" si="13"/>
        <v>0</v>
      </c>
      <c r="L46" s="133">
        <f t="shared" si="20"/>
        <v>0</v>
      </c>
      <c r="M46" s="132">
        <f>IF(SUM(K$28:K46)&gt;0,MIN(O45*(1+B$9)^(1/12),G$25-G46+K46),0)</f>
        <v>0</v>
      </c>
      <c r="N46" s="132">
        <f t="shared" si="8"/>
        <v>0</v>
      </c>
      <c r="O46" s="133">
        <f t="shared" si="9"/>
        <v>0</v>
      </c>
      <c r="P46" s="103">
        <f>SUM(N$27:N46)</f>
        <v>0</v>
      </c>
      <c r="Q46" s="103">
        <f t="shared" si="21"/>
        <v>0</v>
      </c>
      <c r="R46" s="103">
        <f t="shared" si="14"/>
        <v>0</v>
      </c>
      <c r="S46" s="103">
        <f t="shared" si="15"/>
        <v>0</v>
      </c>
      <c r="T46" s="103">
        <f t="shared" si="16"/>
        <v>0</v>
      </c>
      <c r="U46" s="96" t="s">
        <v>67</v>
      </c>
      <c r="V46" s="96" t="str">
        <f t="shared" si="10"/>
        <v>-</v>
      </c>
      <c r="W46" s="96" t="str">
        <f t="shared" si="17"/>
        <v>-</v>
      </c>
      <c r="X46" s="96" t="str">
        <f t="shared" si="18"/>
        <v>-</v>
      </c>
      <c r="Y46" s="107" t="str">
        <f t="shared" si="11"/>
        <v/>
      </c>
      <c r="Z46" s="71"/>
    </row>
    <row r="47" spans="1:26" x14ac:dyDescent="0.2">
      <c r="A47" s="108">
        <v>20</v>
      </c>
      <c r="B47" s="132">
        <f t="shared" si="2"/>
        <v>0</v>
      </c>
      <c r="C47" s="104">
        <f t="shared" si="19"/>
        <v>0</v>
      </c>
      <c r="D47" s="132">
        <f t="shared" si="3"/>
        <v>0</v>
      </c>
      <c r="E47" s="132">
        <f t="shared" si="4"/>
        <v>0</v>
      </c>
      <c r="F47" s="132">
        <f t="shared" si="5"/>
        <v>0</v>
      </c>
      <c r="G47" s="114">
        <f>IF(SUM(K$27:K46)&gt;0,0,IF(Y47&lt;&gt;"-",$B$3,0))</f>
        <v>0</v>
      </c>
      <c r="H47" s="114">
        <f t="shared" si="6"/>
        <v>0</v>
      </c>
      <c r="I47" s="105">
        <f t="shared" si="12"/>
        <v>0</v>
      </c>
      <c r="J47" s="105">
        <f t="shared" si="7"/>
        <v>0</v>
      </c>
      <c r="K47" s="132">
        <f t="shared" si="13"/>
        <v>0</v>
      </c>
      <c r="L47" s="133">
        <f t="shared" si="20"/>
        <v>0</v>
      </c>
      <c r="M47" s="132">
        <f>IF(SUM(K$28:K47)&gt;0,MIN(O46*(1+B$9)^(1/12),G$25-G47+K47),0)</f>
        <v>0</v>
      </c>
      <c r="N47" s="132">
        <f t="shared" si="8"/>
        <v>0</v>
      </c>
      <c r="O47" s="133">
        <f t="shared" si="9"/>
        <v>0</v>
      </c>
      <c r="P47" s="103">
        <f>SUM(N$27:N47)</f>
        <v>0</v>
      </c>
      <c r="Q47" s="103">
        <f t="shared" si="21"/>
        <v>0</v>
      </c>
      <c r="R47" s="103">
        <f t="shared" si="14"/>
        <v>0</v>
      </c>
      <c r="S47" s="103">
        <f t="shared" si="15"/>
        <v>0</v>
      </c>
      <c r="T47" s="103">
        <f t="shared" si="16"/>
        <v>0</v>
      </c>
      <c r="U47" s="96" t="s">
        <v>67</v>
      </c>
      <c r="V47" s="96" t="str">
        <f t="shared" si="10"/>
        <v>-</v>
      </c>
      <c r="W47" s="96" t="str">
        <f t="shared" si="17"/>
        <v>-</v>
      </c>
      <c r="X47" s="96" t="str">
        <f t="shared" si="18"/>
        <v>-</v>
      </c>
      <c r="Y47" s="107" t="str">
        <f t="shared" si="11"/>
        <v/>
      </c>
      <c r="Z47" s="71"/>
    </row>
    <row r="48" spans="1:26" x14ac:dyDescent="0.2">
      <c r="A48" s="108">
        <v>21</v>
      </c>
      <c r="B48" s="132">
        <f t="shared" si="2"/>
        <v>0</v>
      </c>
      <c r="C48" s="104">
        <f t="shared" si="19"/>
        <v>0</v>
      </c>
      <c r="D48" s="132">
        <f t="shared" si="3"/>
        <v>0</v>
      </c>
      <c r="E48" s="132">
        <f t="shared" si="4"/>
        <v>0</v>
      </c>
      <c r="F48" s="132">
        <f t="shared" si="5"/>
        <v>0</v>
      </c>
      <c r="G48" s="114">
        <f>IF(SUM(K$27:K47)&gt;0,0,IF(Y48&lt;&gt;"-",$B$3,0))</f>
        <v>0</v>
      </c>
      <c r="H48" s="114">
        <f t="shared" si="6"/>
        <v>0</v>
      </c>
      <c r="I48" s="105">
        <f t="shared" si="12"/>
        <v>0</v>
      </c>
      <c r="J48" s="105">
        <f t="shared" si="7"/>
        <v>0</v>
      </c>
      <c r="K48" s="132">
        <f t="shared" si="13"/>
        <v>0</v>
      </c>
      <c r="L48" s="133">
        <f t="shared" si="20"/>
        <v>0</v>
      </c>
      <c r="M48" s="132">
        <f>IF(SUM(K$28:K48)&gt;0,MIN(O47*(1+B$9)^(1/12),G$25-G48+K48),0)</f>
        <v>0</v>
      </c>
      <c r="N48" s="132">
        <f t="shared" si="8"/>
        <v>0</v>
      </c>
      <c r="O48" s="133">
        <f t="shared" si="9"/>
        <v>0</v>
      </c>
      <c r="P48" s="103">
        <f>SUM(N$27:N48)</f>
        <v>0</v>
      </c>
      <c r="Q48" s="103">
        <f t="shared" si="21"/>
        <v>0</v>
      </c>
      <c r="R48" s="103">
        <f t="shared" si="14"/>
        <v>0</v>
      </c>
      <c r="S48" s="103">
        <f t="shared" si="15"/>
        <v>0</v>
      </c>
      <c r="T48" s="103">
        <f t="shared" si="16"/>
        <v>0</v>
      </c>
      <c r="U48" s="96" t="s">
        <v>67</v>
      </c>
      <c r="V48" s="96" t="str">
        <f t="shared" si="10"/>
        <v>q</v>
      </c>
      <c r="W48" s="96" t="str">
        <f t="shared" si="17"/>
        <v>-</v>
      </c>
      <c r="X48" s="96" t="str">
        <f t="shared" si="18"/>
        <v>-</v>
      </c>
      <c r="Y48" s="107" t="str">
        <f t="shared" si="11"/>
        <v/>
      </c>
      <c r="Z48" s="71"/>
    </row>
    <row r="49" spans="1:26" x14ac:dyDescent="0.2">
      <c r="A49" s="108">
        <v>22</v>
      </c>
      <c r="B49" s="132">
        <f t="shared" si="2"/>
        <v>0</v>
      </c>
      <c r="C49" s="104">
        <f t="shared" si="19"/>
        <v>0</v>
      </c>
      <c r="D49" s="132">
        <f t="shared" si="3"/>
        <v>0</v>
      </c>
      <c r="E49" s="132">
        <f t="shared" si="4"/>
        <v>0</v>
      </c>
      <c r="F49" s="132">
        <f t="shared" si="5"/>
        <v>0</v>
      </c>
      <c r="G49" s="114">
        <f>IF(SUM(K$27:K48)&gt;0,0,IF(Y49&lt;&gt;"-",$B$3,0))</f>
        <v>0</v>
      </c>
      <c r="H49" s="114">
        <f t="shared" si="6"/>
        <v>0</v>
      </c>
      <c r="I49" s="105">
        <f t="shared" si="12"/>
        <v>0</v>
      </c>
      <c r="J49" s="105">
        <f t="shared" si="7"/>
        <v>0</v>
      </c>
      <c r="K49" s="132">
        <f t="shared" si="13"/>
        <v>0</v>
      </c>
      <c r="L49" s="133">
        <f t="shared" si="20"/>
        <v>0</v>
      </c>
      <c r="M49" s="132">
        <f>IF(SUM(K$28:K49)&gt;0,MIN(O48*(1+B$9)^(1/12),G$25-G49+K49),0)</f>
        <v>0</v>
      </c>
      <c r="N49" s="132">
        <f t="shared" si="8"/>
        <v>0</v>
      </c>
      <c r="O49" s="133">
        <f t="shared" si="9"/>
        <v>0</v>
      </c>
      <c r="P49" s="103">
        <f>SUM(N$27:N49)</f>
        <v>0</v>
      </c>
      <c r="Q49" s="103">
        <f t="shared" si="21"/>
        <v>0</v>
      </c>
      <c r="R49" s="103">
        <f t="shared" si="14"/>
        <v>0</v>
      </c>
      <c r="S49" s="103">
        <f t="shared" si="15"/>
        <v>0</v>
      </c>
      <c r="T49" s="103">
        <f t="shared" si="16"/>
        <v>0</v>
      </c>
      <c r="U49" s="96" t="s">
        <v>67</v>
      </c>
      <c r="V49" s="96" t="str">
        <f t="shared" si="10"/>
        <v>-</v>
      </c>
      <c r="W49" s="96" t="str">
        <f t="shared" si="17"/>
        <v>-</v>
      </c>
      <c r="X49" s="96" t="str">
        <f t="shared" si="18"/>
        <v>-</v>
      </c>
      <c r="Y49" s="107" t="str">
        <f t="shared" si="11"/>
        <v/>
      </c>
      <c r="Z49" s="71"/>
    </row>
    <row r="50" spans="1:26" x14ac:dyDescent="0.2">
      <c r="A50" s="108">
        <v>23</v>
      </c>
      <c r="B50" s="132">
        <f t="shared" si="2"/>
        <v>0</v>
      </c>
      <c r="C50" s="104">
        <f t="shared" si="19"/>
        <v>0</v>
      </c>
      <c r="D50" s="132">
        <f t="shared" si="3"/>
        <v>0</v>
      </c>
      <c r="E50" s="132">
        <f t="shared" si="4"/>
        <v>0</v>
      </c>
      <c r="F50" s="132">
        <f t="shared" si="5"/>
        <v>0</v>
      </c>
      <c r="G50" s="114">
        <f>IF(SUM(K$27:K49)&gt;0,0,IF(Y50&lt;&gt;"-",$B$3,0))</f>
        <v>0</v>
      </c>
      <c r="H50" s="114">
        <f t="shared" si="6"/>
        <v>0</v>
      </c>
      <c r="I50" s="105">
        <f t="shared" si="12"/>
        <v>0</v>
      </c>
      <c r="J50" s="105">
        <f t="shared" si="7"/>
        <v>0</v>
      </c>
      <c r="K50" s="132">
        <f t="shared" si="13"/>
        <v>0</v>
      </c>
      <c r="L50" s="133">
        <f t="shared" si="20"/>
        <v>0</v>
      </c>
      <c r="M50" s="132">
        <f>IF(SUM(K$28:K50)&gt;0,MIN(O49*(1+B$9)^(1/12),G$25-G50+K50),0)</f>
        <v>0</v>
      </c>
      <c r="N50" s="132">
        <f t="shared" si="8"/>
        <v>0</v>
      </c>
      <c r="O50" s="133">
        <f t="shared" si="9"/>
        <v>0</v>
      </c>
      <c r="P50" s="103">
        <f>SUM(N$27:N50)</f>
        <v>0</v>
      </c>
      <c r="Q50" s="103">
        <f t="shared" si="21"/>
        <v>0</v>
      </c>
      <c r="R50" s="103">
        <f t="shared" si="14"/>
        <v>0</v>
      </c>
      <c r="S50" s="103">
        <f t="shared" si="15"/>
        <v>0</v>
      </c>
      <c r="T50" s="103">
        <f t="shared" si="16"/>
        <v>0</v>
      </c>
      <c r="U50" s="96" t="s">
        <v>67</v>
      </c>
      <c r="V50" s="96" t="str">
        <f t="shared" si="10"/>
        <v>-</v>
      </c>
      <c r="W50" s="96" t="str">
        <f t="shared" si="17"/>
        <v>-</v>
      </c>
      <c r="X50" s="96" t="str">
        <f t="shared" si="18"/>
        <v>-</v>
      </c>
      <c r="Y50" s="107" t="str">
        <f t="shared" si="11"/>
        <v/>
      </c>
      <c r="Z50" s="71"/>
    </row>
    <row r="51" spans="1:26" x14ac:dyDescent="0.2">
      <c r="A51" s="110">
        <v>24</v>
      </c>
      <c r="B51" s="111">
        <f t="shared" si="2"/>
        <v>0</v>
      </c>
      <c r="C51" s="111">
        <f t="shared" si="19"/>
        <v>0</v>
      </c>
      <c r="D51" s="111">
        <f t="shared" si="3"/>
        <v>0</v>
      </c>
      <c r="E51" s="111">
        <f t="shared" si="4"/>
        <v>0</v>
      </c>
      <c r="F51" s="111">
        <f t="shared" si="5"/>
        <v>0</v>
      </c>
      <c r="G51" s="112">
        <f>IF(SUM(K$27:K50)&gt;0,0,IF(Y51&lt;&gt;"-",$B$3,0))</f>
        <v>0</v>
      </c>
      <c r="H51" s="112">
        <f t="shared" si="6"/>
        <v>0</v>
      </c>
      <c r="I51" s="112">
        <f t="shared" si="12"/>
        <v>0</v>
      </c>
      <c r="J51" s="112">
        <f t="shared" si="7"/>
        <v>0</v>
      </c>
      <c r="K51" s="111">
        <f t="shared" si="13"/>
        <v>0</v>
      </c>
      <c r="L51" s="113">
        <f t="shared" si="20"/>
        <v>0</v>
      </c>
      <c r="M51" s="111">
        <f>IF(SUM(K$28:K51)&gt;0,MIN(O50*(1+B$9)^(1/12),G$25-G51+K51),0)</f>
        <v>0</v>
      </c>
      <c r="N51" s="111">
        <f t="shared" si="8"/>
        <v>0</v>
      </c>
      <c r="O51" s="113">
        <f t="shared" si="9"/>
        <v>0</v>
      </c>
      <c r="P51" s="111">
        <f>SUM(N$27:N51)</f>
        <v>0</v>
      </c>
      <c r="Q51" s="111">
        <f t="shared" si="21"/>
        <v>0</v>
      </c>
      <c r="R51" s="111">
        <f t="shared" si="14"/>
        <v>0</v>
      </c>
      <c r="S51" s="111">
        <f t="shared" si="15"/>
        <v>0</v>
      </c>
      <c r="T51" s="111">
        <f t="shared" si="16"/>
        <v>0</v>
      </c>
      <c r="U51" s="101" t="s">
        <v>67</v>
      </c>
      <c r="V51" s="101" t="str">
        <f t="shared" si="10"/>
        <v>q</v>
      </c>
      <c r="W51" s="101" t="str">
        <f t="shared" si="17"/>
        <v>s</v>
      </c>
      <c r="X51" s="101" t="str">
        <f t="shared" si="18"/>
        <v>a</v>
      </c>
      <c r="Y51" s="107" t="str">
        <f t="shared" si="11"/>
        <v/>
      </c>
      <c r="Z51" s="71"/>
    </row>
    <row r="52" spans="1:26" x14ac:dyDescent="0.2">
      <c r="A52" s="108">
        <v>25</v>
      </c>
      <c r="B52" s="132">
        <f t="shared" si="2"/>
        <v>0</v>
      </c>
      <c r="C52" s="104">
        <f t="shared" si="19"/>
        <v>0</v>
      </c>
      <c r="D52" s="132">
        <f t="shared" si="3"/>
        <v>0</v>
      </c>
      <c r="E52" s="132">
        <f t="shared" si="4"/>
        <v>0</v>
      </c>
      <c r="F52" s="132">
        <f t="shared" si="5"/>
        <v>0</v>
      </c>
      <c r="G52" s="114">
        <f>IF(SUM(K$27:K51)&gt;0,0,IF(Y52&lt;&gt;"-",$B$3,0))</f>
        <v>0</v>
      </c>
      <c r="H52" s="114">
        <f t="shared" si="6"/>
        <v>0</v>
      </c>
      <c r="I52" s="105">
        <f t="shared" si="12"/>
        <v>0</v>
      </c>
      <c r="J52" s="105">
        <f t="shared" si="7"/>
        <v>0</v>
      </c>
      <c r="K52" s="132">
        <f t="shared" si="13"/>
        <v>0</v>
      </c>
      <c r="L52" s="133">
        <f t="shared" si="20"/>
        <v>0</v>
      </c>
      <c r="M52" s="132">
        <f>IF(SUM(K$28:K52)&gt;0,MIN(O51*(1+B$9)^(1/12),G$25-G52+K52),0)</f>
        <v>0</v>
      </c>
      <c r="N52" s="132">
        <f t="shared" si="8"/>
        <v>0</v>
      </c>
      <c r="O52" s="133">
        <f t="shared" si="9"/>
        <v>0</v>
      </c>
      <c r="P52" s="103">
        <f>SUM(N$27:N52)</f>
        <v>0</v>
      </c>
      <c r="Q52" s="103">
        <f t="shared" si="21"/>
        <v>0</v>
      </c>
      <c r="R52" s="103">
        <f t="shared" si="14"/>
        <v>0</v>
      </c>
      <c r="S52" s="103">
        <f t="shared" si="15"/>
        <v>0</v>
      </c>
      <c r="T52" s="103">
        <f t="shared" si="16"/>
        <v>0</v>
      </c>
      <c r="U52" s="96" t="s">
        <v>67</v>
      </c>
      <c r="V52" s="96" t="str">
        <f t="shared" si="10"/>
        <v>-</v>
      </c>
      <c r="W52" s="96" t="str">
        <f t="shared" si="17"/>
        <v>-</v>
      </c>
      <c r="X52" s="96" t="str">
        <f t="shared" si="18"/>
        <v>-</v>
      </c>
      <c r="Y52" s="107" t="str">
        <f t="shared" si="11"/>
        <v/>
      </c>
      <c r="Z52" s="71"/>
    </row>
    <row r="53" spans="1:26" x14ac:dyDescent="0.2">
      <c r="A53" s="108">
        <v>26</v>
      </c>
      <c r="B53" s="132">
        <f t="shared" si="2"/>
        <v>0</v>
      </c>
      <c r="C53" s="104">
        <f t="shared" si="19"/>
        <v>0</v>
      </c>
      <c r="D53" s="132">
        <f t="shared" si="3"/>
        <v>0</v>
      </c>
      <c r="E53" s="132">
        <f t="shared" si="4"/>
        <v>0</v>
      </c>
      <c r="F53" s="132">
        <f t="shared" si="5"/>
        <v>0</v>
      </c>
      <c r="G53" s="114">
        <f>IF(SUM(K$27:K52)&gt;0,0,IF(Y53&lt;&gt;"-",$B$3,0))</f>
        <v>0</v>
      </c>
      <c r="H53" s="114">
        <f t="shared" si="6"/>
        <v>0</v>
      </c>
      <c r="I53" s="105">
        <f t="shared" si="12"/>
        <v>0</v>
      </c>
      <c r="J53" s="105">
        <f t="shared" si="7"/>
        <v>0</v>
      </c>
      <c r="K53" s="132">
        <f t="shared" si="13"/>
        <v>0</v>
      </c>
      <c r="L53" s="133">
        <f t="shared" si="20"/>
        <v>0</v>
      </c>
      <c r="M53" s="132">
        <f>IF(SUM(K$28:K53)&gt;0,MIN(O52*(1+B$9)^(1/12),G$25-G53+K53),0)</f>
        <v>0</v>
      </c>
      <c r="N53" s="132">
        <f t="shared" si="8"/>
        <v>0</v>
      </c>
      <c r="O53" s="133">
        <f t="shared" si="9"/>
        <v>0</v>
      </c>
      <c r="P53" s="103">
        <f>SUM(N$27:N53)</f>
        <v>0</v>
      </c>
      <c r="Q53" s="103">
        <f t="shared" si="21"/>
        <v>0</v>
      </c>
      <c r="R53" s="103">
        <f t="shared" si="14"/>
        <v>0</v>
      </c>
      <c r="S53" s="103">
        <f t="shared" si="15"/>
        <v>0</v>
      </c>
      <c r="T53" s="103">
        <f t="shared" si="16"/>
        <v>0</v>
      </c>
      <c r="U53" s="96" t="s">
        <v>67</v>
      </c>
      <c r="V53" s="96" t="str">
        <f t="shared" si="10"/>
        <v>-</v>
      </c>
      <c r="W53" s="96" t="str">
        <f t="shared" si="17"/>
        <v>-</v>
      </c>
      <c r="X53" s="96" t="str">
        <f t="shared" si="18"/>
        <v>-</v>
      </c>
      <c r="Y53" s="107" t="str">
        <f t="shared" si="11"/>
        <v/>
      </c>
      <c r="Z53" s="71"/>
    </row>
    <row r="54" spans="1:26" x14ac:dyDescent="0.2">
      <c r="A54" s="108">
        <v>27</v>
      </c>
      <c r="B54" s="132">
        <f t="shared" si="2"/>
        <v>0</v>
      </c>
      <c r="C54" s="104">
        <f t="shared" si="19"/>
        <v>0</v>
      </c>
      <c r="D54" s="132">
        <f t="shared" si="3"/>
        <v>0</v>
      </c>
      <c r="E54" s="132">
        <f t="shared" si="4"/>
        <v>0</v>
      </c>
      <c r="F54" s="132">
        <f t="shared" si="5"/>
        <v>0</v>
      </c>
      <c r="G54" s="114">
        <f>IF(SUM(K$27:K53)&gt;0,0,IF(Y54&lt;&gt;"-",$B$3,0))</f>
        <v>0</v>
      </c>
      <c r="H54" s="114">
        <f t="shared" si="6"/>
        <v>0</v>
      </c>
      <c r="I54" s="105">
        <f t="shared" si="12"/>
        <v>0</v>
      </c>
      <c r="J54" s="105">
        <f t="shared" si="7"/>
        <v>0</v>
      </c>
      <c r="K54" s="132">
        <f t="shared" si="13"/>
        <v>0</v>
      </c>
      <c r="L54" s="133">
        <f t="shared" si="20"/>
        <v>0</v>
      </c>
      <c r="M54" s="132">
        <f>IF(SUM(K$28:K54)&gt;0,MIN(O53*(1+B$9)^(1/12),G$25-G54+K54),0)</f>
        <v>0</v>
      </c>
      <c r="N54" s="132">
        <f t="shared" si="8"/>
        <v>0</v>
      </c>
      <c r="O54" s="133">
        <f t="shared" si="9"/>
        <v>0</v>
      </c>
      <c r="P54" s="103">
        <f>SUM(N$27:N54)</f>
        <v>0</v>
      </c>
      <c r="Q54" s="103">
        <f t="shared" si="21"/>
        <v>0</v>
      </c>
      <c r="R54" s="103">
        <f t="shared" si="14"/>
        <v>0</v>
      </c>
      <c r="S54" s="103">
        <f t="shared" si="15"/>
        <v>0</v>
      </c>
      <c r="T54" s="103">
        <f t="shared" si="16"/>
        <v>0</v>
      </c>
      <c r="U54" s="96" t="s">
        <v>67</v>
      </c>
      <c r="V54" s="96" t="str">
        <f t="shared" si="10"/>
        <v>q</v>
      </c>
      <c r="W54" s="96" t="str">
        <f t="shared" si="17"/>
        <v>-</v>
      </c>
      <c r="X54" s="96" t="str">
        <f t="shared" si="18"/>
        <v>-</v>
      </c>
      <c r="Y54" s="107" t="str">
        <f t="shared" si="11"/>
        <v/>
      </c>
      <c r="Z54" s="71"/>
    </row>
    <row r="55" spans="1:26" x14ac:dyDescent="0.2">
      <c r="A55" s="108">
        <v>28</v>
      </c>
      <c r="B55" s="132">
        <f t="shared" si="2"/>
        <v>0</v>
      </c>
      <c r="C55" s="104">
        <f t="shared" si="19"/>
        <v>0</v>
      </c>
      <c r="D55" s="132">
        <f t="shared" si="3"/>
        <v>0</v>
      </c>
      <c r="E55" s="132">
        <f t="shared" si="4"/>
        <v>0</v>
      </c>
      <c r="F55" s="132">
        <f t="shared" si="5"/>
        <v>0</v>
      </c>
      <c r="G55" s="114">
        <f>IF(SUM(K$27:K54)&gt;0,0,IF(Y55&lt;&gt;"-",$B$3,0))</f>
        <v>0</v>
      </c>
      <c r="H55" s="114">
        <f t="shared" si="6"/>
        <v>0</v>
      </c>
      <c r="I55" s="105">
        <f t="shared" si="12"/>
        <v>0</v>
      </c>
      <c r="J55" s="105">
        <f t="shared" si="7"/>
        <v>0</v>
      </c>
      <c r="K55" s="132">
        <f t="shared" si="13"/>
        <v>0</v>
      </c>
      <c r="L55" s="133">
        <f t="shared" si="20"/>
        <v>0</v>
      </c>
      <c r="M55" s="132">
        <f>IF(SUM(K$28:K55)&gt;0,MIN(O54*(1+B$9)^(1/12),G$25-G55+K55),0)</f>
        <v>0</v>
      </c>
      <c r="N55" s="132">
        <f t="shared" si="8"/>
        <v>0</v>
      </c>
      <c r="O55" s="133">
        <f t="shared" si="9"/>
        <v>0</v>
      </c>
      <c r="P55" s="103">
        <f>SUM(N$27:N55)</f>
        <v>0</v>
      </c>
      <c r="Q55" s="103">
        <f t="shared" si="21"/>
        <v>0</v>
      </c>
      <c r="R55" s="103">
        <f t="shared" si="14"/>
        <v>0</v>
      </c>
      <c r="S55" s="103">
        <f t="shared" si="15"/>
        <v>0</v>
      </c>
      <c r="T55" s="103">
        <f t="shared" si="16"/>
        <v>0</v>
      </c>
      <c r="U55" s="96" t="s">
        <v>67</v>
      </c>
      <c r="V55" s="96" t="str">
        <f t="shared" si="10"/>
        <v>-</v>
      </c>
      <c r="W55" s="96" t="str">
        <f t="shared" si="17"/>
        <v>-</v>
      </c>
      <c r="X55" s="96" t="str">
        <f t="shared" si="18"/>
        <v>-</v>
      </c>
      <c r="Y55" s="107" t="str">
        <f t="shared" si="11"/>
        <v/>
      </c>
      <c r="Z55" s="71"/>
    </row>
    <row r="56" spans="1:26" x14ac:dyDescent="0.2">
      <c r="A56" s="108">
        <v>29</v>
      </c>
      <c r="B56" s="132">
        <f t="shared" si="2"/>
        <v>0</v>
      </c>
      <c r="C56" s="104">
        <f t="shared" si="19"/>
        <v>0</v>
      </c>
      <c r="D56" s="132">
        <f t="shared" si="3"/>
        <v>0</v>
      </c>
      <c r="E56" s="132">
        <f t="shared" si="4"/>
        <v>0</v>
      </c>
      <c r="F56" s="132">
        <f t="shared" si="5"/>
        <v>0</v>
      </c>
      <c r="G56" s="114">
        <f>IF(SUM(K$27:K55)&gt;0,0,IF(Y56&lt;&gt;"-",$B$3,0))</f>
        <v>0</v>
      </c>
      <c r="H56" s="114">
        <f t="shared" si="6"/>
        <v>0</v>
      </c>
      <c r="I56" s="105">
        <f t="shared" si="12"/>
        <v>0</v>
      </c>
      <c r="J56" s="105">
        <f t="shared" si="7"/>
        <v>0</v>
      </c>
      <c r="K56" s="132">
        <f t="shared" si="13"/>
        <v>0</v>
      </c>
      <c r="L56" s="133">
        <f t="shared" si="20"/>
        <v>0</v>
      </c>
      <c r="M56" s="132">
        <f>IF(SUM(K$28:K56)&gt;0,MIN(O55*(1+B$9)^(1/12),G$25-G56+K56),0)</f>
        <v>0</v>
      </c>
      <c r="N56" s="132">
        <f t="shared" si="8"/>
        <v>0</v>
      </c>
      <c r="O56" s="133">
        <f t="shared" si="9"/>
        <v>0</v>
      </c>
      <c r="P56" s="103">
        <f>SUM(N$27:N56)</f>
        <v>0</v>
      </c>
      <c r="Q56" s="103">
        <f t="shared" si="21"/>
        <v>0</v>
      </c>
      <c r="R56" s="103">
        <f t="shared" si="14"/>
        <v>0</v>
      </c>
      <c r="S56" s="103">
        <f t="shared" si="15"/>
        <v>0</v>
      </c>
      <c r="T56" s="103">
        <f t="shared" si="16"/>
        <v>0</v>
      </c>
      <c r="U56" s="96" t="s">
        <v>67</v>
      </c>
      <c r="V56" s="96" t="str">
        <f t="shared" si="10"/>
        <v>-</v>
      </c>
      <c r="W56" s="96" t="str">
        <f t="shared" si="17"/>
        <v>-</v>
      </c>
      <c r="X56" s="96" t="str">
        <f t="shared" si="18"/>
        <v>-</v>
      </c>
      <c r="Y56" s="107" t="str">
        <f t="shared" si="11"/>
        <v/>
      </c>
      <c r="Z56" s="71"/>
    </row>
    <row r="57" spans="1:26" x14ac:dyDescent="0.2">
      <c r="A57" s="108">
        <v>30</v>
      </c>
      <c r="B57" s="132">
        <f>G57+H57-D57-K57</f>
        <v>0</v>
      </c>
      <c r="C57" s="104">
        <f t="shared" si="19"/>
        <v>0</v>
      </c>
      <c r="D57" s="132">
        <f t="shared" si="3"/>
        <v>0</v>
      </c>
      <c r="E57" s="132">
        <f t="shared" si="4"/>
        <v>0</v>
      </c>
      <c r="F57" s="132">
        <f t="shared" si="5"/>
        <v>0</v>
      </c>
      <c r="G57" s="114">
        <f>IF(SUM(K$27:K56)&gt;0,0,IF(Y57&lt;&gt;"-",$B$3,0))</f>
        <v>0</v>
      </c>
      <c r="H57" s="114">
        <f t="shared" si="6"/>
        <v>0</v>
      </c>
      <c r="I57" s="105">
        <f t="shared" si="12"/>
        <v>0</v>
      </c>
      <c r="J57" s="105">
        <f t="shared" si="7"/>
        <v>0</v>
      </c>
      <c r="K57" s="132">
        <f>MAX(SUM(G57:J57)-SUM(C57:F57),0)</f>
        <v>0</v>
      </c>
      <c r="L57" s="133">
        <f>SUM(C57:F57)-SUM(G57:J57)+K57</f>
        <v>0</v>
      </c>
      <c r="M57" s="132">
        <f>IF(SUM(K$28:K57)&gt;0,MIN(O56*(1+B$9)^(1/12),G$25-G57+K57),0)</f>
        <v>0</v>
      </c>
      <c r="N57" s="132">
        <f t="shared" si="8"/>
        <v>0</v>
      </c>
      <c r="O57" s="133">
        <f t="shared" si="9"/>
        <v>0</v>
      </c>
      <c r="P57" s="103">
        <f>SUM(N$27:N57)</f>
        <v>0</v>
      </c>
      <c r="Q57" s="103">
        <f t="shared" si="21"/>
        <v>0</v>
      </c>
      <c r="R57" s="103">
        <f t="shared" si="14"/>
        <v>0</v>
      </c>
      <c r="S57" s="103">
        <f t="shared" si="15"/>
        <v>0</v>
      </c>
      <c r="T57" s="103">
        <f t="shared" si="16"/>
        <v>0</v>
      </c>
      <c r="U57" s="96" t="s">
        <v>67</v>
      </c>
      <c r="V57" s="96" t="str">
        <f t="shared" si="10"/>
        <v>q</v>
      </c>
      <c r="W57" s="96" t="str">
        <f t="shared" si="17"/>
        <v>s</v>
      </c>
      <c r="X57" s="96" t="str">
        <f t="shared" si="18"/>
        <v>-</v>
      </c>
      <c r="Y57" s="107" t="str">
        <f t="shared" si="11"/>
        <v/>
      </c>
      <c r="Z57" s="71"/>
    </row>
    <row r="58" spans="1:26" x14ac:dyDescent="0.2">
      <c r="A58" s="108">
        <v>31</v>
      </c>
      <c r="B58" s="132">
        <f t="shared" ref="B58:B121" si="22">G58+H58-D58-K58</f>
        <v>0</v>
      </c>
      <c r="C58" s="104">
        <f t="shared" si="19"/>
        <v>0</v>
      </c>
      <c r="D58" s="132">
        <f t="shared" si="3"/>
        <v>0</v>
      </c>
      <c r="E58" s="132">
        <f t="shared" si="4"/>
        <v>0</v>
      </c>
      <c r="F58" s="132">
        <f t="shared" si="5"/>
        <v>0</v>
      </c>
      <c r="G58" s="114">
        <f>IF(SUM(K$27:K57)&gt;0,0,IF(Y58&lt;&gt;"-",$B$3,0))</f>
        <v>0</v>
      </c>
      <c r="H58" s="114">
        <f t="shared" si="6"/>
        <v>0</v>
      </c>
      <c r="I58" s="105">
        <f t="shared" si="12"/>
        <v>0</v>
      </c>
      <c r="J58" s="105">
        <f t="shared" si="7"/>
        <v>0</v>
      </c>
      <c r="K58" s="132">
        <f t="shared" ref="K58:K121" si="23">MAX(SUM(G58:J58)-SUM(C58:F58),0)</f>
        <v>0</v>
      </c>
      <c r="L58" s="133">
        <f t="shared" ref="L58:L121" si="24">SUM(C58:F58)-SUM(G58:J58)+K58</f>
        <v>0</v>
      </c>
      <c r="M58" s="132">
        <f>IF(SUM(K$28:K58)&gt;0,MIN(O57*(1+B$9)^(1/12),G$25-G58+K58),0)</f>
        <v>0</v>
      </c>
      <c r="N58" s="132">
        <f t="shared" si="8"/>
        <v>0</v>
      </c>
      <c r="O58" s="133">
        <f t="shared" si="9"/>
        <v>0</v>
      </c>
      <c r="P58" s="103">
        <f>SUM(N$27:N58)</f>
        <v>0</v>
      </c>
      <c r="Q58" s="103">
        <f t="shared" si="21"/>
        <v>0</v>
      </c>
      <c r="R58" s="103">
        <f t="shared" si="14"/>
        <v>0</v>
      </c>
      <c r="S58" s="103">
        <f t="shared" si="15"/>
        <v>0</v>
      </c>
      <c r="T58" s="103">
        <f t="shared" si="16"/>
        <v>0</v>
      </c>
      <c r="U58" s="96" t="s">
        <v>67</v>
      </c>
      <c r="V58" s="96" t="str">
        <f t="shared" si="10"/>
        <v>-</v>
      </c>
      <c r="W58" s="96" t="str">
        <f t="shared" si="17"/>
        <v>-</v>
      </c>
      <c r="X58" s="96" t="str">
        <f t="shared" si="18"/>
        <v>-</v>
      </c>
      <c r="Y58" s="107" t="str">
        <f t="shared" si="11"/>
        <v/>
      </c>
      <c r="Z58" s="71"/>
    </row>
    <row r="59" spans="1:26" x14ac:dyDescent="0.2">
      <c r="A59" s="108">
        <v>32</v>
      </c>
      <c r="B59" s="132">
        <f t="shared" si="22"/>
        <v>0</v>
      </c>
      <c r="C59" s="104">
        <f t="shared" si="19"/>
        <v>0</v>
      </c>
      <c r="D59" s="132">
        <f t="shared" si="3"/>
        <v>0</v>
      </c>
      <c r="E59" s="132">
        <f t="shared" si="4"/>
        <v>0</v>
      </c>
      <c r="F59" s="132">
        <f t="shared" si="5"/>
        <v>0</v>
      </c>
      <c r="G59" s="114">
        <f>IF(SUM(K$27:K58)&gt;0,0,IF(Y59&lt;&gt;"-",$B$3,0))</f>
        <v>0</v>
      </c>
      <c r="H59" s="114">
        <f t="shared" si="6"/>
        <v>0</v>
      </c>
      <c r="I59" s="105">
        <f t="shared" si="12"/>
        <v>0</v>
      </c>
      <c r="J59" s="105">
        <f t="shared" si="7"/>
        <v>0</v>
      </c>
      <c r="K59" s="132">
        <f t="shared" si="23"/>
        <v>0</v>
      </c>
      <c r="L59" s="133">
        <f t="shared" si="24"/>
        <v>0</v>
      </c>
      <c r="M59" s="132">
        <f>IF(SUM(K$28:K59)&gt;0,MIN(O58*(1+B$9)^(1/12),G$25-G59+K59),0)</f>
        <v>0</v>
      </c>
      <c r="N59" s="132">
        <f t="shared" si="8"/>
        <v>0</v>
      </c>
      <c r="O59" s="133">
        <f t="shared" si="9"/>
        <v>0</v>
      </c>
      <c r="P59" s="103">
        <f>SUM(N$27:N59)</f>
        <v>0</v>
      </c>
      <c r="Q59" s="103">
        <f t="shared" si="21"/>
        <v>0</v>
      </c>
      <c r="R59" s="103">
        <f t="shared" si="14"/>
        <v>0</v>
      </c>
      <c r="S59" s="103">
        <f t="shared" si="15"/>
        <v>0</v>
      </c>
      <c r="T59" s="103">
        <f t="shared" si="16"/>
        <v>0</v>
      </c>
      <c r="U59" s="96" t="s">
        <v>67</v>
      </c>
      <c r="V59" s="96" t="str">
        <f t="shared" si="10"/>
        <v>-</v>
      </c>
      <c r="W59" s="96" t="str">
        <f t="shared" si="17"/>
        <v>-</v>
      </c>
      <c r="X59" s="96" t="str">
        <f t="shared" si="18"/>
        <v>-</v>
      </c>
      <c r="Y59" s="107" t="str">
        <f t="shared" si="11"/>
        <v/>
      </c>
      <c r="Z59" s="71"/>
    </row>
    <row r="60" spans="1:26" x14ac:dyDescent="0.2">
      <c r="A60" s="108">
        <v>33</v>
      </c>
      <c r="B60" s="132">
        <f t="shared" si="22"/>
        <v>0</v>
      </c>
      <c r="C60" s="104">
        <f t="shared" si="19"/>
        <v>0</v>
      </c>
      <c r="D60" s="132">
        <f t="shared" ref="D60:D91" si="25">IF(Y60&lt;&gt;"-",$B$2,0)</f>
        <v>0</v>
      </c>
      <c r="E60" s="132">
        <f t="shared" ref="E60:E91" si="26">C60*(1+$B$9)^(1/12)-C60-F60</f>
        <v>0</v>
      </c>
      <c r="F60" s="132">
        <f t="shared" ref="F60:F91" si="27">C60*(1+$B$10)^(1/12)-C60</f>
        <v>0</v>
      </c>
      <c r="G60" s="114">
        <f>IF(SUM(K$27:K59)&gt;0,0,IF(Y60&lt;&gt;"-",$B$3,0))</f>
        <v>0</v>
      </c>
      <c r="H60" s="114">
        <f t="shared" ref="H60:H91" si="28">IF($B$7="No",F60,0)</f>
        <v>0</v>
      </c>
      <c r="I60" s="105">
        <f t="shared" si="12"/>
        <v>0</v>
      </c>
      <c r="J60" s="105">
        <f t="shared" ref="J60:J91" si="29">VLOOKUP(C60,$D$3:$J$9,7,TRUE)-VLOOKUP(C60,$D$3:$J$9,4,TRUE)*(VLOOKUP(C60,$D$3:$J$9,2,TRUE)-C60)/12</f>
        <v>0</v>
      </c>
      <c r="K60" s="132">
        <f t="shared" si="23"/>
        <v>0</v>
      </c>
      <c r="L60" s="133">
        <f t="shared" si="24"/>
        <v>0</v>
      </c>
      <c r="M60" s="132">
        <f>IF(SUM(K$28:K60)&gt;0,MIN(O59*(1+B$9)^(1/12),G$25-G60+K60),0)</f>
        <v>0</v>
      </c>
      <c r="N60" s="132">
        <f t="shared" ref="N60:N91" si="30">(O59-L59)*((1+B$9)^(1/12)-1)+J60+I60</f>
        <v>0</v>
      </c>
      <c r="O60" s="133">
        <f t="shared" ref="O60:O91" si="31">(O59)*(1+B$9)^(1/12)+D60-G60-H60-M60+K60/(1+B$9)</f>
        <v>0</v>
      </c>
      <c r="P60" s="103">
        <f>SUM(N$27:N60)</f>
        <v>0</v>
      </c>
      <c r="Q60" s="103">
        <f t="shared" si="21"/>
        <v>0</v>
      </c>
      <c r="R60" s="103">
        <f t="shared" si="14"/>
        <v>0</v>
      </c>
      <c r="S60" s="103">
        <f t="shared" si="15"/>
        <v>0</v>
      </c>
      <c r="T60" s="103">
        <f t="shared" si="16"/>
        <v>0</v>
      </c>
      <c r="U60" s="96" t="s">
        <v>67</v>
      </c>
      <c r="V60" s="96" t="str">
        <f t="shared" si="10"/>
        <v>q</v>
      </c>
      <c r="W60" s="96" t="str">
        <f t="shared" si="17"/>
        <v>-</v>
      </c>
      <c r="X60" s="96" t="str">
        <f t="shared" si="18"/>
        <v>-</v>
      </c>
      <c r="Y60" s="107" t="str">
        <f t="shared" ref="Y60:Y91" si="32">IF($B$15="Monthly",$U60,"")
&amp;IF($B$15="Quarterly",$V60,"")
&amp;IF($B$15="1/2 Yearly",$W60,"")
&amp;IF($B$15="Yearly",$X60,"")</f>
        <v/>
      </c>
      <c r="Z60" s="71"/>
    </row>
    <row r="61" spans="1:26" x14ac:dyDescent="0.2">
      <c r="A61" s="108">
        <v>34</v>
      </c>
      <c r="B61" s="132">
        <f t="shared" si="22"/>
        <v>0</v>
      </c>
      <c r="C61" s="104">
        <f t="shared" si="19"/>
        <v>0</v>
      </c>
      <c r="D61" s="132">
        <f t="shared" si="25"/>
        <v>0</v>
      </c>
      <c r="E61" s="132">
        <f t="shared" si="26"/>
        <v>0</v>
      </c>
      <c r="F61" s="132">
        <f t="shared" si="27"/>
        <v>0</v>
      </c>
      <c r="G61" s="114">
        <f>IF(SUM(K$27:K60)&gt;0,0,IF(Y61&lt;&gt;"-",$B$3,0))</f>
        <v>0</v>
      </c>
      <c r="H61" s="114">
        <f t="shared" si="28"/>
        <v>0</v>
      </c>
      <c r="I61" s="105">
        <f t="shared" si="12"/>
        <v>0</v>
      </c>
      <c r="J61" s="105">
        <f t="shared" si="29"/>
        <v>0</v>
      </c>
      <c r="K61" s="132">
        <f t="shared" si="23"/>
        <v>0</v>
      </c>
      <c r="L61" s="133">
        <f t="shared" si="24"/>
        <v>0</v>
      </c>
      <c r="M61" s="132">
        <f>IF(SUM(K$28:K61)&gt;0,MIN(O60*(1+B$9)^(1/12),G$25-G61+K61),0)</f>
        <v>0</v>
      </c>
      <c r="N61" s="132">
        <f t="shared" si="30"/>
        <v>0</v>
      </c>
      <c r="O61" s="133">
        <f t="shared" si="31"/>
        <v>0</v>
      </c>
      <c r="P61" s="103">
        <f>SUM(N$27:N61)</f>
        <v>0</v>
      </c>
      <c r="Q61" s="103">
        <f t="shared" si="21"/>
        <v>0</v>
      </c>
      <c r="R61" s="103">
        <f t="shared" si="14"/>
        <v>0</v>
      </c>
      <c r="S61" s="103">
        <f t="shared" si="15"/>
        <v>0</v>
      </c>
      <c r="T61" s="103">
        <f t="shared" si="16"/>
        <v>0</v>
      </c>
      <c r="U61" s="96" t="s">
        <v>67</v>
      </c>
      <c r="V61" s="96" t="str">
        <f t="shared" si="10"/>
        <v>-</v>
      </c>
      <c r="W61" s="96" t="str">
        <f t="shared" si="17"/>
        <v>-</v>
      </c>
      <c r="X61" s="96" t="str">
        <f t="shared" si="18"/>
        <v>-</v>
      </c>
      <c r="Y61" s="107" t="str">
        <f t="shared" si="32"/>
        <v/>
      </c>
      <c r="Z61" s="71"/>
    </row>
    <row r="62" spans="1:26" x14ac:dyDescent="0.2">
      <c r="A62" s="108">
        <v>35</v>
      </c>
      <c r="B62" s="132">
        <f t="shared" si="22"/>
        <v>0</v>
      </c>
      <c r="C62" s="104">
        <f t="shared" si="19"/>
        <v>0</v>
      </c>
      <c r="D62" s="132">
        <f t="shared" si="25"/>
        <v>0</v>
      </c>
      <c r="E62" s="132">
        <f t="shared" si="26"/>
        <v>0</v>
      </c>
      <c r="F62" s="132">
        <f t="shared" si="27"/>
        <v>0</v>
      </c>
      <c r="G62" s="114">
        <f>IF(SUM(K$27:K61)&gt;0,0,IF(Y62&lt;&gt;"-",$B$3,0))</f>
        <v>0</v>
      </c>
      <c r="H62" s="114">
        <f t="shared" si="28"/>
        <v>0</v>
      </c>
      <c r="I62" s="105">
        <f t="shared" si="12"/>
        <v>0</v>
      </c>
      <c r="J62" s="105">
        <f t="shared" si="29"/>
        <v>0</v>
      </c>
      <c r="K62" s="132">
        <f t="shared" si="23"/>
        <v>0</v>
      </c>
      <c r="L62" s="133">
        <f t="shared" si="24"/>
        <v>0</v>
      </c>
      <c r="M62" s="132">
        <f>IF(SUM(K$28:K62)&gt;0,MIN(O61*(1+B$9)^(1/12),G$25-G62+K62),0)</f>
        <v>0</v>
      </c>
      <c r="N62" s="132">
        <f t="shared" si="30"/>
        <v>0</v>
      </c>
      <c r="O62" s="133">
        <f t="shared" si="31"/>
        <v>0</v>
      </c>
      <c r="P62" s="103">
        <f>SUM(N$27:N62)</f>
        <v>0</v>
      </c>
      <c r="Q62" s="103">
        <f t="shared" si="21"/>
        <v>0</v>
      </c>
      <c r="R62" s="103">
        <f t="shared" si="14"/>
        <v>0</v>
      </c>
      <c r="S62" s="103">
        <f t="shared" si="15"/>
        <v>0</v>
      </c>
      <c r="T62" s="103">
        <f t="shared" si="16"/>
        <v>0</v>
      </c>
      <c r="U62" s="96" t="s">
        <v>67</v>
      </c>
      <c r="V62" s="96" t="str">
        <f t="shared" si="10"/>
        <v>-</v>
      </c>
      <c r="W62" s="96" t="str">
        <f t="shared" si="17"/>
        <v>-</v>
      </c>
      <c r="X62" s="96" t="str">
        <f t="shared" si="18"/>
        <v>-</v>
      </c>
      <c r="Y62" s="107" t="str">
        <f t="shared" si="32"/>
        <v/>
      </c>
      <c r="Z62" s="71"/>
    </row>
    <row r="63" spans="1:26" x14ac:dyDescent="0.2">
      <c r="A63" s="110">
        <v>36</v>
      </c>
      <c r="B63" s="111">
        <f t="shared" si="22"/>
        <v>0</v>
      </c>
      <c r="C63" s="111">
        <f t="shared" si="19"/>
        <v>0</v>
      </c>
      <c r="D63" s="111">
        <f t="shared" si="25"/>
        <v>0</v>
      </c>
      <c r="E63" s="111">
        <f t="shared" si="26"/>
        <v>0</v>
      </c>
      <c r="F63" s="111">
        <f t="shared" si="27"/>
        <v>0</v>
      </c>
      <c r="G63" s="112">
        <f>IF(SUM(K$27:K62)&gt;0,0,IF(Y63&lt;&gt;"-",$B$3,0))</f>
        <v>0</v>
      </c>
      <c r="H63" s="112">
        <f t="shared" si="28"/>
        <v>0</v>
      </c>
      <c r="I63" s="112">
        <f t="shared" si="12"/>
        <v>0</v>
      </c>
      <c r="J63" s="112">
        <f t="shared" si="29"/>
        <v>0</v>
      </c>
      <c r="K63" s="111">
        <f t="shared" si="23"/>
        <v>0</v>
      </c>
      <c r="L63" s="113">
        <f t="shared" si="24"/>
        <v>0</v>
      </c>
      <c r="M63" s="111">
        <f>IF(SUM(K$28:K63)&gt;0,MIN(O62*(1+B$9)^(1/12),G$25-G63+K63),0)</f>
        <v>0</v>
      </c>
      <c r="N63" s="111">
        <f t="shared" si="30"/>
        <v>0</v>
      </c>
      <c r="O63" s="113">
        <f t="shared" si="31"/>
        <v>0</v>
      </c>
      <c r="P63" s="111">
        <f>SUM(N$27:N63)</f>
        <v>0</v>
      </c>
      <c r="Q63" s="111">
        <f t="shared" si="21"/>
        <v>0</v>
      </c>
      <c r="R63" s="111">
        <f t="shared" si="14"/>
        <v>0</v>
      </c>
      <c r="S63" s="111">
        <f t="shared" si="15"/>
        <v>0</v>
      </c>
      <c r="T63" s="111">
        <f t="shared" si="16"/>
        <v>0</v>
      </c>
      <c r="U63" s="101" t="s">
        <v>67</v>
      </c>
      <c r="V63" s="101" t="str">
        <f t="shared" si="10"/>
        <v>q</v>
      </c>
      <c r="W63" s="101" t="str">
        <f t="shared" si="17"/>
        <v>s</v>
      </c>
      <c r="X63" s="101" t="str">
        <f t="shared" si="18"/>
        <v>a</v>
      </c>
      <c r="Y63" s="107" t="str">
        <f t="shared" si="32"/>
        <v/>
      </c>
      <c r="Z63" s="71"/>
    </row>
    <row r="64" spans="1:26" x14ac:dyDescent="0.2">
      <c r="A64" s="108">
        <v>37</v>
      </c>
      <c r="B64" s="132">
        <f t="shared" si="22"/>
        <v>0</v>
      </c>
      <c r="C64" s="104">
        <f t="shared" si="19"/>
        <v>0</v>
      </c>
      <c r="D64" s="132">
        <f t="shared" si="25"/>
        <v>0</v>
      </c>
      <c r="E64" s="132">
        <f t="shared" si="26"/>
        <v>0</v>
      </c>
      <c r="F64" s="132">
        <f t="shared" si="27"/>
        <v>0</v>
      </c>
      <c r="G64" s="114">
        <f>IF(SUM(K$27:K63)&gt;0,0,IF(Y64&lt;&gt;"-",$B$3,0))</f>
        <v>0</v>
      </c>
      <c r="H64" s="114">
        <f t="shared" si="28"/>
        <v>0</v>
      </c>
      <c r="I64" s="105">
        <f t="shared" si="12"/>
        <v>0</v>
      </c>
      <c r="J64" s="105">
        <f t="shared" si="29"/>
        <v>0</v>
      </c>
      <c r="K64" s="132">
        <f t="shared" si="23"/>
        <v>0</v>
      </c>
      <c r="L64" s="133">
        <f t="shared" si="24"/>
        <v>0</v>
      </c>
      <c r="M64" s="132">
        <f>IF(SUM(K$28:K64)&gt;0,MIN(O63*(1+B$9)^(1/12),G$25-G64+K64),0)</f>
        <v>0</v>
      </c>
      <c r="N64" s="132">
        <f t="shared" si="30"/>
        <v>0</v>
      </c>
      <c r="O64" s="133">
        <f t="shared" si="31"/>
        <v>0</v>
      </c>
      <c r="P64" s="103">
        <f>SUM(N$27:N64)</f>
        <v>0</v>
      </c>
      <c r="Q64" s="103">
        <f t="shared" si="21"/>
        <v>0</v>
      </c>
      <c r="R64" s="103">
        <f t="shared" si="14"/>
        <v>0</v>
      </c>
      <c r="S64" s="103">
        <f t="shared" si="15"/>
        <v>0</v>
      </c>
      <c r="T64" s="103">
        <f t="shared" si="16"/>
        <v>0</v>
      </c>
      <c r="U64" s="96" t="s">
        <v>67</v>
      </c>
      <c r="V64" s="96" t="str">
        <f t="shared" si="10"/>
        <v>-</v>
      </c>
      <c r="W64" s="96" t="str">
        <f t="shared" si="17"/>
        <v>-</v>
      </c>
      <c r="X64" s="96" t="str">
        <f t="shared" si="18"/>
        <v>-</v>
      </c>
      <c r="Y64" s="107" t="str">
        <f t="shared" si="32"/>
        <v/>
      </c>
      <c r="Z64" s="71"/>
    </row>
    <row r="65" spans="1:26" x14ac:dyDescent="0.2">
      <c r="A65" s="108">
        <v>38</v>
      </c>
      <c r="B65" s="132">
        <f t="shared" si="22"/>
        <v>0</v>
      </c>
      <c r="C65" s="104">
        <f t="shared" si="19"/>
        <v>0</v>
      </c>
      <c r="D65" s="132">
        <f t="shared" si="25"/>
        <v>0</v>
      </c>
      <c r="E65" s="132">
        <f t="shared" si="26"/>
        <v>0</v>
      </c>
      <c r="F65" s="132">
        <f t="shared" si="27"/>
        <v>0</v>
      </c>
      <c r="G65" s="114">
        <f>IF(SUM(K$27:K64)&gt;0,0,IF(Y65&lt;&gt;"-",$B$3,0))</f>
        <v>0</v>
      </c>
      <c r="H65" s="114">
        <f t="shared" si="28"/>
        <v>0</v>
      </c>
      <c r="I65" s="105">
        <f t="shared" si="12"/>
        <v>0</v>
      </c>
      <c r="J65" s="105">
        <f t="shared" si="29"/>
        <v>0</v>
      </c>
      <c r="K65" s="132">
        <f t="shared" si="23"/>
        <v>0</v>
      </c>
      <c r="L65" s="133">
        <f t="shared" si="24"/>
        <v>0</v>
      </c>
      <c r="M65" s="132">
        <f>IF(SUM(K$28:K65)&gt;0,MIN(O64*(1+B$9)^(1/12),G$25-G65+K65),0)</f>
        <v>0</v>
      </c>
      <c r="N65" s="132">
        <f t="shared" si="30"/>
        <v>0</v>
      </c>
      <c r="O65" s="133">
        <f t="shared" si="31"/>
        <v>0</v>
      </c>
      <c r="P65" s="103">
        <f>SUM(N$27:N65)</f>
        <v>0</v>
      </c>
      <c r="Q65" s="103">
        <f t="shared" si="21"/>
        <v>0</v>
      </c>
      <c r="R65" s="103">
        <f t="shared" si="14"/>
        <v>0</v>
      </c>
      <c r="S65" s="103">
        <f t="shared" si="15"/>
        <v>0</v>
      </c>
      <c r="T65" s="103">
        <f t="shared" si="16"/>
        <v>0</v>
      </c>
      <c r="U65" s="96" t="s">
        <v>67</v>
      </c>
      <c r="V65" s="96" t="str">
        <f t="shared" si="10"/>
        <v>-</v>
      </c>
      <c r="W65" s="96" t="str">
        <f t="shared" si="17"/>
        <v>-</v>
      </c>
      <c r="X65" s="96" t="str">
        <f t="shared" si="18"/>
        <v>-</v>
      </c>
      <c r="Y65" s="107" t="str">
        <f t="shared" si="32"/>
        <v/>
      </c>
      <c r="Z65" s="71"/>
    </row>
    <row r="66" spans="1:26" x14ac:dyDescent="0.2">
      <c r="A66" s="108">
        <v>39</v>
      </c>
      <c r="B66" s="132">
        <f t="shared" si="22"/>
        <v>0</v>
      </c>
      <c r="C66" s="104">
        <f t="shared" si="19"/>
        <v>0</v>
      </c>
      <c r="D66" s="132">
        <f t="shared" si="25"/>
        <v>0</v>
      </c>
      <c r="E66" s="132">
        <f t="shared" si="26"/>
        <v>0</v>
      </c>
      <c r="F66" s="132">
        <f t="shared" si="27"/>
        <v>0</v>
      </c>
      <c r="G66" s="114">
        <f>IF(SUM(K$27:K65)&gt;0,0,IF(Y66&lt;&gt;"-",$B$3,0))</f>
        <v>0</v>
      </c>
      <c r="H66" s="114">
        <f t="shared" si="28"/>
        <v>0</v>
      </c>
      <c r="I66" s="105">
        <f t="shared" si="12"/>
        <v>0</v>
      </c>
      <c r="J66" s="105">
        <f t="shared" si="29"/>
        <v>0</v>
      </c>
      <c r="K66" s="132">
        <f t="shared" si="23"/>
        <v>0</v>
      </c>
      <c r="L66" s="133">
        <f t="shared" si="24"/>
        <v>0</v>
      </c>
      <c r="M66" s="132">
        <f>IF(SUM(K$28:K66)&gt;0,MIN(O65*(1+B$9)^(1/12),G$25-G66+K66),0)</f>
        <v>0</v>
      </c>
      <c r="N66" s="132">
        <f t="shared" si="30"/>
        <v>0</v>
      </c>
      <c r="O66" s="133">
        <f t="shared" si="31"/>
        <v>0</v>
      </c>
      <c r="P66" s="103">
        <f>SUM(N$27:N66)</f>
        <v>0</v>
      </c>
      <c r="Q66" s="103">
        <f t="shared" si="21"/>
        <v>0</v>
      </c>
      <c r="R66" s="103">
        <f t="shared" si="14"/>
        <v>0</v>
      </c>
      <c r="S66" s="103">
        <f t="shared" si="15"/>
        <v>0</v>
      </c>
      <c r="T66" s="103">
        <f t="shared" si="16"/>
        <v>0</v>
      </c>
      <c r="U66" s="96" t="s">
        <v>67</v>
      </c>
      <c r="V66" s="96" t="str">
        <f t="shared" si="10"/>
        <v>q</v>
      </c>
      <c r="W66" s="96" t="str">
        <f t="shared" si="17"/>
        <v>-</v>
      </c>
      <c r="X66" s="96" t="str">
        <f t="shared" si="18"/>
        <v>-</v>
      </c>
      <c r="Y66" s="107" t="str">
        <f t="shared" si="32"/>
        <v/>
      </c>
      <c r="Z66" s="71"/>
    </row>
    <row r="67" spans="1:26" x14ac:dyDescent="0.2">
      <c r="A67" s="108">
        <v>40</v>
      </c>
      <c r="B67" s="132">
        <f t="shared" si="22"/>
        <v>0</v>
      </c>
      <c r="C67" s="104">
        <f t="shared" si="19"/>
        <v>0</v>
      </c>
      <c r="D67" s="132">
        <f t="shared" si="25"/>
        <v>0</v>
      </c>
      <c r="E67" s="132">
        <f t="shared" si="26"/>
        <v>0</v>
      </c>
      <c r="F67" s="132">
        <f t="shared" si="27"/>
        <v>0</v>
      </c>
      <c r="G67" s="114">
        <f>IF(SUM(K$27:K66)&gt;0,0,IF(Y67&lt;&gt;"-",$B$3,0))</f>
        <v>0</v>
      </c>
      <c r="H67" s="114">
        <f t="shared" si="28"/>
        <v>0</v>
      </c>
      <c r="I67" s="105">
        <f t="shared" si="12"/>
        <v>0</v>
      </c>
      <c r="J67" s="105">
        <f t="shared" si="29"/>
        <v>0</v>
      </c>
      <c r="K67" s="132">
        <f t="shared" si="23"/>
        <v>0</v>
      </c>
      <c r="L67" s="133">
        <f t="shared" si="24"/>
        <v>0</v>
      </c>
      <c r="M67" s="132">
        <f>IF(SUM(K$28:K67)&gt;0,MIN(O66*(1+B$9)^(1/12),G$25-G67+K67),0)</f>
        <v>0</v>
      </c>
      <c r="N67" s="132">
        <f t="shared" si="30"/>
        <v>0</v>
      </c>
      <c r="O67" s="133">
        <f t="shared" si="31"/>
        <v>0</v>
      </c>
      <c r="P67" s="103">
        <f>SUM(N$27:N67)</f>
        <v>0</v>
      </c>
      <c r="Q67" s="103">
        <f t="shared" si="21"/>
        <v>0</v>
      </c>
      <c r="R67" s="103">
        <f t="shared" si="14"/>
        <v>0</v>
      </c>
      <c r="S67" s="103">
        <f t="shared" si="15"/>
        <v>0</v>
      </c>
      <c r="T67" s="103">
        <f t="shared" si="16"/>
        <v>0</v>
      </c>
      <c r="U67" s="96" t="s">
        <v>67</v>
      </c>
      <c r="V67" s="96" t="str">
        <f t="shared" si="10"/>
        <v>-</v>
      </c>
      <c r="W67" s="96" t="str">
        <f t="shared" si="17"/>
        <v>-</v>
      </c>
      <c r="X67" s="96" t="str">
        <f t="shared" si="18"/>
        <v>-</v>
      </c>
      <c r="Y67" s="107" t="str">
        <f t="shared" si="32"/>
        <v/>
      </c>
      <c r="Z67" s="71"/>
    </row>
    <row r="68" spans="1:26" x14ac:dyDescent="0.2">
      <c r="A68" s="108">
        <v>41</v>
      </c>
      <c r="B68" s="132">
        <f t="shared" si="22"/>
        <v>0</v>
      </c>
      <c r="C68" s="104">
        <f t="shared" si="19"/>
        <v>0</v>
      </c>
      <c r="D68" s="132">
        <f t="shared" si="25"/>
        <v>0</v>
      </c>
      <c r="E68" s="132">
        <f t="shared" si="26"/>
        <v>0</v>
      </c>
      <c r="F68" s="132">
        <f t="shared" si="27"/>
        <v>0</v>
      </c>
      <c r="G68" s="114">
        <f>IF(SUM(K$27:K67)&gt;0,0,IF(Y68&lt;&gt;"-",$B$3,0))</f>
        <v>0</v>
      </c>
      <c r="H68" s="114">
        <f t="shared" si="28"/>
        <v>0</v>
      </c>
      <c r="I68" s="105">
        <f t="shared" si="12"/>
        <v>0</v>
      </c>
      <c r="J68" s="105">
        <f t="shared" si="29"/>
        <v>0</v>
      </c>
      <c r="K68" s="132">
        <f t="shared" si="23"/>
        <v>0</v>
      </c>
      <c r="L68" s="133">
        <f t="shared" si="24"/>
        <v>0</v>
      </c>
      <c r="M68" s="132">
        <f>IF(SUM(K$28:K68)&gt;0,MIN(O67*(1+B$9)^(1/12),G$25-G68+K68),0)</f>
        <v>0</v>
      </c>
      <c r="N68" s="132">
        <f t="shared" si="30"/>
        <v>0</v>
      </c>
      <c r="O68" s="133">
        <f t="shared" si="31"/>
        <v>0</v>
      </c>
      <c r="P68" s="103">
        <f>SUM(N$27:N68)</f>
        <v>0</v>
      </c>
      <c r="Q68" s="103">
        <f t="shared" si="21"/>
        <v>0</v>
      </c>
      <c r="R68" s="103">
        <f t="shared" si="14"/>
        <v>0</v>
      </c>
      <c r="S68" s="103">
        <f t="shared" si="15"/>
        <v>0</v>
      </c>
      <c r="T68" s="103">
        <f t="shared" si="16"/>
        <v>0</v>
      </c>
      <c r="U68" s="96" t="s">
        <v>67</v>
      </c>
      <c r="V68" s="96" t="str">
        <f t="shared" si="10"/>
        <v>-</v>
      </c>
      <c r="W68" s="96" t="str">
        <f t="shared" si="17"/>
        <v>-</v>
      </c>
      <c r="X68" s="96" t="str">
        <f t="shared" si="18"/>
        <v>-</v>
      </c>
      <c r="Y68" s="107" t="str">
        <f t="shared" si="32"/>
        <v/>
      </c>
      <c r="Z68" s="71"/>
    </row>
    <row r="69" spans="1:26" x14ac:dyDescent="0.2">
      <c r="A69" s="108">
        <v>42</v>
      </c>
      <c r="B69" s="132">
        <f t="shared" si="22"/>
        <v>0</v>
      </c>
      <c r="C69" s="104">
        <f t="shared" si="19"/>
        <v>0</v>
      </c>
      <c r="D69" s="132">
        <f t="shared" si="25"/>
        <v>0</v>
      </c>
      <c r="E69" s="132">
        <f t="shared" si="26"/>
        <v>0</v>
      </c>
      <c r="F69" s="132">
        <f t="shared" si="27"/>
        <v>0</v>
      </c>
      <c r="G69" s="114">
        <f>IF(SUM(K$27:K68)&gt;0,0,IF(Y69&lt;&gt;"-",$B$3,0))</f>
        <v>0</v>
      </c>
      <c r="H69" s="114">
        <f t="shared" si="28"/>
        <v>0</v>
      </c>
      <c r="I69" s="105">
        <f t="shared" si="12"/>
        <v>0</v>
      </c>
      <c r="J69" s="105">
        <f t="shared" si="29"/>
        <v>0</v>
      </c>
      <c r="K69" s="132">
        <f t="shared" si="23"/>
        <v>0</v>
      </c>
      <c r="L69" s="133">
        <f t="shared" si="24"/>
        <v>0</v>
      </c>
      <c r="M69" s="132">
        <f>IF(SUM(K$28:K69)&gt;0,MIN(O68*(1+B$9)^(1/12),G$25-G69+K69),0)</f>
        <v>0</v>
      </c>
      <c r="N69" s="132">
        <f t="shared" si="30"/>
        <v>0</v>
      </c>
      <c r="O69" s="133">
        <f t="shared" si="31"/>
        <v>0</v>
      </c>
      <c r="P69" s="103">
        <f>SUM(N$27:N69)</f>
        <v>0</v>
      </c>
      <c r="Q69" s="103">
        <f t="shared" si="21"/>
        <v>0</v>
      </c>
      <c r="R69" s="103">
        <f t="shared" si="14"/>
        <v>0</v>
      </c>
      <c r="S69" s="103">
        <f t="shared" si="15"/>
        <v>0</v>
      </c>
      <c r="T69" s="103">
        <f t="shared" si="16"/>
        <v>0</v>
      </c>
      <c r="U69" s="96" t="s">
        <v>67</v>
      </c>
      <c r="V69" s="96" t="str">
        <f t="shared" si="10"/>
        <v>q</v>
      </c>
      <c r="W69" s="96" t="str">
        <f t="shared" si="17"/>
        <v>s</v>
      </c>
      <c r="X69" s="96" t="str">
        <f t="shared" si="18"/>
        <v>-</v>
      </c>
      <c r="Y69" s="107" t="str">
        <f t="shared" si="32"/>
        <v/>
      </c>
      <c r="Z69" s="71"/>
    </row>
    <row r="70" spans="1:26" x14ac:dyDescent="0.2">
      <c r="A70" s="108">
        <v>43</v>
      </c>
      <c r="B70" s="132">
        <f t="shared" si="22"/>
        <v>0</v>
      </c>
      <c r="C70" s="104">
        <f t="shared" si="19"/>
        <v>0</v>
      </c>
      <c r="D70" s="132">
        <f t="shared" si="25"/>
        <v>0</v>
      </c>
      <c r="E70" s="132">
        <f t="shared" si="26"/>
        <v>0</v>
      </c>
      <c r="F70" s="132">
        <f t="shared" si="27"/>
        <v>0</v>
      </c>
      <c r="G70" s="114">
        <f>IF(SUM(K$27:K69)&gt;0,0,IF(Y70&lt;&gt;"-",$B$3,0))</f>
        <v>0</v>
      </c>
      <c r="H70" s="114">
        <f t="shared" si="28"/>
        <v>0</v>
      </c>
      <c r="I70" s="105">
        <f t="shared" si="12"/>
        <v>0</v>
      </c>
      <c r="J70" s="105">
        <f t="shared" si="29"/>
        <v>0</v>
      </c>
      <c r="K70" s="132">
        <f t="shared" si="23"/>
        <v>0</v>
      </c>
      <c r="L70" s="133">
        <f t="shared" si="24"/>
        <v>0</v>
      </c>
      <c r="M70" s="132">
        <f>IF(SUM(K$28:K70)&gt;0,MIN(O69*(1+B$9)^(1/12),G$25-G70+K70),0)</f>
        <v>0</v>
      </c>
      <c r="N70" s="132">
        <f t="shared" si="30"/>
        <v>0</v>
      </c>
      <c r="O70" s="133">
        <f t="shared" si="31"/>
        <v>0</v>
      </c>
      <c r="P70" s="103">
        <f>SUM(N$27:N70)</f>
        <v>0</v>
      </c>
      <c r="Q70" s="103">
        <f t="shared" si="21"/>
        <v>0</v>
      </c>
      <c r="R70" s="103">
        <f t="shared" si="14"/>
        <v>0</v>
      </c>
      <c r="S70" s="103">
        <f t="shared" si="15"/>
        <v>0</v>
      </c>
      <c r="T70" s="103">
        <f t="shared" si="16"/>
        <v>0</v>
      </c>
      <c r="U70" s="96" t="s">
        <v>67</v>
      </c>
      <c r="V70" s="96" t="str">
        <f t="shared" si="10"/>
        <v>-</v>
      </c>
      <c r="W70" s="96" t="str">
        <f t="shared" si="17"/>
        <v>-</v>
      </c>
      <c r="X70" s="96" t="str">
        <f t="shared" si="18"/>
        <v>-</v>
      </c>
      <c r="Y70" s="107" t="str">
        <f t="shared" si="32"/>
        <v/>
      </c>
      <c r="Z70" s="71"/>
    </row>
    <row r="71" spans="1:26" x14ac:dyDescent="0.2">
      <c r="A71" s="108">
        <v>44</v>
      </c>
      <c r="B71" s="132">
        <f t="shared" si="22"/>
        <v>0</v>
      </c>
      <c r="C71" s="104">
        <f t="shared" si="19"/>
        <v>0</v>
      </c>
      <c r="D71" s="132">
        <f t="shared" si="25"/>
        <v>0</v>
      </c>
      <c r="E71" s="132">
        <f t="shared" si="26"/>
        <v>0</v>
      </c>
      <c r="F71" s="132">
        <f t="shared" si="27"/>
        <v>0</v>
      </c>
      <c r="G71" s="114">
        <f>IF(SUM(K$27:K70)&gt;0,0,IF(Y71&lt;&gt;"-",$B$3,0))</f>
        <v>0</v>
      </c>
      <c r="H71" s="114">
        <f t="shared" si="28"/>
        <v>0</v>
      </c>
      <c r="I71" s="105">
        <f t="shared" si="12"/>
        <v>0</v>
      </c>
      <c r="J71" s="105">
        <f t="shared" si="29"/>
        <v>0</v>
      </c>
      <c r="K71" s="132">
        <f t="shared" si="23"/>
        <v>0</v>
      </c>
      <c r="L71" s="133">
        <f t="shared" si="24"/>
        <v>0</v>
      </c>
      <c r="M71" s="132">
        <f>IF(SUM(K$28:K71)&gt;0,MIN(O70*(1+B$9)^(1/12),G$25-G71+K71),0)</f>
        <v>0</v>
      </c>
      <c r="N71" s="132">
        <f t="shared" si="30"/>
        <v>0</v>
      </c>
      <c r="O71" s="133">
        <f t="shared" si="31"/>
        <v>0</v>
      </c>
      <c r="P71" s="103">
        <f>SUM(N$27:N71)</f>
        <v>0</v>
      </c>
      <c r="Q71" s="103">
        <f t="shared" si="21"/>
        <v>0</v>
      </c>
      <c r="R71" s="103">
        <f t="shared" si="14"/>
        <v>0</v>
      </c>
      <c r="S71" s="103">
        <f t="shared" si="15"/>
        <v>0</v>
      </c>
      <c r="T71" s="103">
        <f t="shared" si="16"/>
        <v>0</v>
      </c>
      <c r="U71" s="96" t="s">
        <v>67</v>
      </c>
      <c r="V71" s="96" t="str">
        <f t="shared" si="10"/>
        <v>-</v>
      </c>
      <c r="W71" s="96" t="str">
        <f t="shared" si="17"/>
        <v>-</v>
      </c>
      <c r="X71" s="96" t="str">
        <f t="shared" si="18"/>
        <v>-</v>
      </c>
      <c r="Y71" s="107" t="str">
        <f t="shared" si="32"/>
        <v/>
      </c>
      <c r="Z71" s="71"/>
    </row>
    <row r="72" spans="1:26" x14ac:dyDescent="0.2">
      <c r="A72" s="108">
        <v>45</v>
      </c>
      <c r="B72" s="132">
        <f t="shared" si="22"/>
        <v>0</v>
      </c>
      <c r="C72" s="104">
        <f t="shared" si="19"/>
        <v>0</v>
      </c>
      <c r="D72" s="132">
        <f t="shared" si="25"/>
        <v>0</v>
      </c>
      <c r="E72" s="132">
        <f t="shared" si="26"/>
        <v>0</v>
      </c>
      <c r="F72" s="132">
        <f t="shared" si="27"/>
        <v>0</v>
      </c>
      <c r="G72" s="114">
        <f>IF(SUM(K$27:K71)&gt;0,0,IF(Y72&lt;&gt;"-",$B$3,0))</f>
        <v>0</v>
      </c>
      <c r="H72" s="114">
        <f t="shared" si="28"/>
        <v>0</v>
      </c>
      <c r="I72" s="105">
        <f t="shared" si="12"/>
        <v>0</v>
      </c>
      <c r="J72" s="105">
        <f t="shared" si="29"/>
        <v>0</v>
      </c>
      <c r="K72" s="132">
        <f t="shared" si="23"/>
        <v>0</v>
      </c>
      <c r="L72" s="133">
        <f t="shared" si="24"/>
        <v>0</v>
      </c>
      <c r="M72" s="132">
        <f>IF(SUM(K$28:K72)&gt;0,MIN(O71*(1+B$9)^(1/12),G$25-G72+K72),0)</f>
        <v>0</v>
      </c>
      <c r="N72" s="132">
        <f t="shared" si="30"/>
        <v>0</v>
      </c>
      <c r="O72" s="133">
        <f t="shared" si="31"/>
        <v>0</v>
      </c>
      <c r="P72" s="103">
        <f>SUM(N$27:N72)</f>
        <v>0</v>
      </c>
      <c r="Q72" s="103">
        <f t="shared" si="21"/>
        <v>0</v>
      </c>
      <c r="R72" s="103">
        <f t="shared" si="14"/>
        <v>0</v>
      </c>
      <c r="S72" s="103">
        <f t="shared" si="15"/>
        <v>0</v>
      </c>
      <c r="T72" s="103">
        <f t="shared" si="16"/>
        <v>0</v>
      </c>
      <c r="U72" s="96" t="s">
        <v>67</v>
      </c>
      <c r="V72" s="96" t="str">
        <f t="shared" si="10"/>
        <v>q</v>
      </c>
      <c r="W72" s="96" t="str">
        <f t="shared" si="17"/>
        <v>-</v>
      </c>
      <c r="X72" s="96" t="str">
        <f t="shared" si="18"/>
        <v>-</v>
      </c>
      <c r="Y72" s="107" t="str">
        <f t="shared" si="32"/>
        <v/>
      </c>
      <c r="Z72" s="71"/>
    </row>
    <row r="73" spans="1:26" x14ac:dyDescent="0.2">
      <c r="A73" s="108">
        <v>46</v>
      </c>
      <c r="B73" s="132">
        <f t="shared" si="22"/>
        <v>0</v>
      </c>
      <c r="C73" s="104">
        <f t="shared" si="19"/>
        <v>0</v>
      </c>
      <c r="D73" s="132">
        <f t="shared" si="25"/>
        <v>0</v>
      </c>
      <c r="E73" s="132">
        <f t="shared" si="26"/>
        <v>0</v>
      </c>
      <c r="F73" s="132">
        <f t="shared" si="27"/>
        <v>0</v>
      </c>
      <c r="G73" s="114">
        <f>IF(SUM(K$27:K72)&gt;0,0,IF(Y73&lt;&gt;"-",$B$3,0))</f>
        <v>0</v>
      </c>
      <c r="H73" s="114">
        <f t="shared" si="28"/>
        <v>0</v>
      </c>
      <c r="I73" s="105">
        <f t="shared" si="12"/>
        <v>0</v>
      </c>
      <c r="J73" s="105">
        <f t="shared" si="29"/>
        <v>0</v>
      </c>
      <c r="K73" s="132">
        <f t="shared" si="23"/>
        <v>0</v>
      </c>
      <c r="L73" s="133">
        <f t="shared" si="24"/>
        <v>0</v>
      </c>
      <c r="M73" s="132">
        <f>IF(SUM(K$28:K73)&gt;0,MIN(O72*(1+B$9)^(1/12),G$25-G73+K73),0)</f>
        <v>0</v>
      </c>
      <c r="N73" s="132">
        <f t="shared" si="30"/>
        <v>0</v>
      </c>
      <c r="O73" s="133">
        <f t="shared" si="31"/>
        <v>0</v>
      </c>
      <c r="P73" s="103">
        <f>SUM(N$27:N73)</f>
        <v>0</v>
      </c>
      <c r="Q73" s="103">
        <f t="shared" si="21"/>
        <v>0</v>
      </c>
      <c r="R73" s="103">
        <f t="shared" si="14"/>
        <v>0</v>
      </c>
      <c r="S73" s="103">
        <f t="shared" si="15"/>
        <v>0</v>
      </c>
      <c r="T73" s="103">
        <f t="shared" si="16"/>
        <v>0</v>
      </c>
      <c r="U73" s="96" t="s">
        <v>67</v>
      </c>
      <c r="V73" s="96" t="str">
        <f t="shared" si="10"/>
        <v>-</v>
      </c>
      <c r="W73" s="96" t="str">
        <f t="shared" si="17"/>
        <v>-</v>
      </c>
      <c r="X73" s="96" t="str">
        <f t="shared" si="18"/>
        <v>-</v>
      </c>
      <c r="Y73" s="107" t="str">
        <f t="shared" si="32"/>
        <v/>
      </c>
      <c r="Z73" s="71"/>
    </row>
    <row r="74" spans="1:26" x14ac:dyDescent="0.2">
      <c r="A74" s="108">
        <v>47</v>
      </c>
      <c r="B74" s="132">
        <f t="shared" si="22"/>
        <v>0</v>
      </c>
      <c r="C74" s="104">
        <f t="shared" si="19"/>
        <v>0</v>
      </c>
      <c r="D74" s="132">
        <f t="shared" si="25"/>
        <v>0</v>
      </c>
      <c r="E74" s="132">
        <f t="shared" si="26"/>
        <v>0</v>
      </c>
      <c r="F74" s="132">
        <f t="shared" si="27"/>
        <v>0</v>
      </c>
      <c r="G74" s="114">
        <f>IF(SUM(K$27:K73)&gt;0,0,IF(Y74&lt;&gt;"-",$B$3,0))</f>
        <v>0</v>
      </c>
      <c r="H74" s="114">
        <f t="shared" si="28"/>
        <v>0</v>
      </c>
      <c r="I74" s="105">
        <f t="shared" si="12"/>
        <v>0</v>
      </c>
      <c r="J74" s="105">
        <f t="shared" si="29"/>
        <v>0</v>
      </c>
      <c r="K74" s="132">
        <f t="shared" si="23"/>
        <v>0</v>
      </c>
      <c r="L74" s="133">
        <f t="shared" si="24"/>
        <v>0</v>
      </c>
      <c r="M74" s="132">
        <f>IF(SUM(K$28:K74)&gt;0,MIN(O73*(1+B$9)^(1/12),G$25-G74+K74),0)</f>
        <v>0</v>
      </c>
      <c r="N74" s="132">
        <f t="shared" si="30"/>
        <v>0</v>
      </c>
      <c r="O74" s="133">
        <f t="shared" si="31"/>
        <v>0</v>
      </c>
      <c r="P74" s="103">
        <f>SUM(N$27:N74)</f>
        <v>0</v>
      </c>
      <c r="Q74" s="103">
        <f t="shared" si="21"/>
        <v>0</v>
      </c>
      <c r="R74" s="103">
        <f t="shared" si="14"/>
        <v>0</v>
      </c>
      <c r="S74" s="103">
        <f t="shared" si="15"/>
        <v>0</v>
      </c>
      <c r="T74" s="103">
        <f t="shared" si="16"/>
        <v>0</v>
      </c>
      <c r="U74" s="96" t="s">
        <v>67</v>
      </c>
      <c r="V74" s="96" t="str">
        <f t="shared" si="10"/>
        <v>-</v>
      </c>
      <c r="W74" s="96" t="str">
        <f t="shared" si="17"/>
        <v>-</v>
      </c>
      <c r="X74" s="96" t="str">
        <f t="shared" si="18"/>
        <v>-</v>
      </c>
      <c r="Y74" s="107" t="str">
        <f t="shared" si="32"/>
        <v/>
      </c>
      <c r="Z74" s="71"/>
    </row>
    <row r="75" spans="1:26" x14ac:dyDescent="0.2">
      <c r="A75" s="110">
        <v>48</v>
      </c>
      <c r="B75" s="111">
        <f t="shared" si="22"/>
        <v>0</v>
      </c>
      <c r="C75" s="111">
        <f t="shared" si="19"/>
        <v>0</v>
      </c>
      <c r="D75" s="111">
        <f t="shared" si="25"/>
        <v>0</v>
      </c>
      <c r="E75" s="111">
        <f t="shared" si="26"/>
        <v>0</v>
      </c>
      <c r="F75" s="111">
        <f t="shared" si="27"/>
        <v>0</v>
      </c>
      <c r="G75" s="112">
        <f>IF(SUM(K$27:K74)&gt;0,0,IF(Y75&lt;&gt;"-",$B$3,0))</f>
        <v>0</v>
      </c>
      <c r="H75" s="112">
        <f t="shared" si="28"/>
        <v>0</v>
      </c>
      <c r="I75" s="112">
        <f t="shared" si="12"/>
        <v>0</v>
      </c>
      <c r="J75" s="112">
        <f t="shared" si="29"/>
        <v>0</v>
      </c>
      <c r="K75" s="111">
        <f t="shared" si="23"/>
        <v>0</v>
      </c>
      <c r="L75" s="113">
        <f t="shared" si="24"/>
        <v>0</v>
      </c>
      <c r="M75" s="111">
        <f>IF(SUM(K$28:K75)&gt;0,MIN(O74*(1+B$9)^(1/12),G$25-G75+K75),0)</f>
        <v>0</v>
      </c>
      <c r="N75" s="111">
        <f t="shared" si="30"/>
        <v>0</v>
      </c>
      <c r="O75" s="113">
        <f t="shared" si="31"/>
        <v>0</v>
      </c>
      <c r="P75" s="111">
        <f>SUM(N$27:N75)</f>
        <v>0</v>
      </c>
      <c r="Q75" s="111">
        <f t="shared" si="21"/>
        <v>0</v>
      </c>
      <c r="R75" s="111">
        <f t="shared" si="14"/>
        <v>0</v>
      </c>
      <c r="S75" s="111">
        <f t="shared" si="15"/>
        <v>0</v>
      </c>
      <c r="T75" s="111">
        <f t="shared" si="16"/>
        <v>0</v>
      </c>
      <c r="U75" s="101" t="s">
        <v>67</v>
      </c>
      <c r="V75" s="101" t="str">
        <f t="shared" si="10"/>
        <v>q</v>
      </c>
      <c r="W75" s="101" t="str">
        <f t="shared" si="17"/>
        <v>s</v>
      </c>
      <c r="X75" s="101" t="str">
        <f t="shared" si="18"/>
        <v>a</v>
      </c>
      <c r="Y75" s="107" t="str">
        <f t="shared" si="32"/>
        <v/>
      </c>
      <c r="Z75" s="71"/>
    </row>
    <row r="76" spans="1:26" x14ac:dyDescent="0.2">
      <c r="A76" s="108">
        <v>49</v>
      </c>
      <c r="B76" s="132">
        <f t="shared" si="22"/>
        <v>0</v>
      </c>
      <c r="C76" s="104">
        <f t="shared" si="19"/>
        <v>0</v>
      </c>
      <c r="D76" s="132">
        <f t="shared" si="25"/>
        <v>0</v>
      </c>
      <c r="E76" s="132">
        <f t="shared" si="26"/>
        <v>0</v>
      </c>
      <c r="F76" s="132">
        <f t="shared" si="27"/>
        <v>0</v>
      </c>
      <c r="G76" s="114">
        <f>IF(SUM(K$27:K75)&gt;0,0,IF(Y76&lt;&gt;"-",$B$3,0))</f>
        <v>0</v>
      </c>
      <c r="H76" s="114">
        <f t="shared" si="28"/>
        <v>0</v>
      </c>
      <c r="I76" s="105">
        <f t="shared" si="12"/>
        <v>0</v>
      </c>
      <c r="J76" s="105">
        <f t="shared" si="29"/>
        <v>0</v>
      </c>
      <c r="K76" s="132">
        <f t="shared" si="23"/>
        <v>0</v>
      </c>
      <c r="L76" s="133">
        <f t="shared" si="24"/>
        <v>0</v>
      </c>
      <c r="M76" s="132">
        <f>IF(SUM(K$28:K76)&gt;0,MIN(O75*(1+B$9)^(1/12),G$25-G76+K76),0)</f>
        <v>0</v>
      </c>
      <c r="N76" s="132">
        <f t="shared" si="30"/>
        <v>0</v>
      </c>
      <c r="O76" s="133">
        <f t="shared" si="31"/>
        <v>0</v>
      </c>
      <c r="P76" s="103">
        <f>SUM(N$27:N76)</f>
        <v>0</v>
      </c>
      <c r="Q76" s="103">
        <f t="shared" si="21"/>
        <v>0</v>
      </c>
      <c r="R76" s="103">
        <f t="shared" si="14"/>
        <v>0</v>
      </c>
      <c r="S76" s="103">
        <f t="shared" si="15"/>
        <v>0</v>
      </c>
      <c r="T76" s="103">
        <f t="shared" si="16"/>
        <v>0</v>
      </c>
      <c r="U76" s="96" t="s">
        <v>67</v>
      </c>
      <c r="V76" s="96" t="str">
        <f t="shared" si="10"/>
        <v>-</v>
      </c>
      <c r="W76" s="96" t="str">
        <f t="shared" si="17"/>
        <v>-</v>
      </c>
      <c r="X76" s="96" t="str">
        <f t="shared" si="18"/>
        <v>-</v>
      </c>
      <c r="Y76" s="107" t="str">
        <f t="shared" si="32"/>
        <v/>
      </c>
      <c r="Z76" s="71"/>
    </row>
    <row r="77" spans="1:26" x14ac:dyDescent="0.2">
      <c r="A77" s="108">
        <v>50</v>
      </c>
      <c r="B77" s="132">
        <f t="shared" si="22"/>
        <v>0</v>
      </c>
      <c r="C77" s="104">
        <f t="shared" si="19"/>
        <v>0</v>
      </c>
      <c r="D77" s="132">
        <f t="shared" si="25"/>
        <v>0</v>
      </c>
      <c r="E77" s="132">
        <f t="shared" si="26"/>
        <v>0</v>
      </c>
      <c r="F77" s="132">
        <f t="shared" si="27"/>
        <v>0</v>
      </c>
      <c r="G77" s="114">
        <f>IF(SUM(K$27:K76)&gt;0,0,IF(Y77&lt;&gt;"-",$B$3,0))</f>
        <v>0</v>
      </c>
      <c r="H77" s="114">
        <f t="shared" si="28"/>
        <v>0</v>
      </c>
      <c r="I77" s="105">
        <f t="shared" si="12"/>
        <v>0</v>
      </c>
      <c r="J77" s="105">
        <f t="shared" si="29"/>
        <v>0</v>
      </c>
      <c r="K77" s="132">
        <f t="shared" si="23"/>
        <v>0</v>
      </c>
      <c r="L77" s="133">
        <f t="shared" si="24"/>
        <v>0</v>
      </c>
      <c r="M77" s="132">
        <f>IF(SUM(K$28:K77)&gt;0,MIN(O76*(1+B$9)^(1/12),G$25-G77+K77),0)</f>
        <v>0</v>
      </c>
      <c r="N77" s="132">
        <f t="shared" si="30"/>
        <v>0</v>
      </c>
      <c r="O77" s="133">
        <f t="shared" si="31"/>
        <v>0</v>
      </c>
      <c r="P77" s="103">
        <f>SUM(N$27:N77)</f>
        <v>0</v>
      </c>
      <c r="Q77" s="103">
        <f t="shared" si="21"/>
        <v>0</v>
      </c>
      <c r="R77" s="103">
        <f t="shared" si="14"/>
        <v>0</v>
      </c>
      <c r="S77" s="103">
        <f t="shared" si="15"/>
        <v>0</v>
      </c>
      <c r="T77" s="103">
        <f t="shared" si="16"/>
        <v>0</v>
      </c>
      <c r="U77" s="96" t="s">
        <v>67</v>
      </c>
      <c r="V77" s="96" t="str">
        <f t="shared" si="10"/>
        <v>-</v>
      </c>
      <c r="W77" s="96" t="str">
        <f t="shared" si="17"/>
        <v>-</v>
      </c>
      <c r="X77" s="96" t="str">
        <f t="shared" si="18"/>
        <v>-</v>
      </c>
      <c r="Y77" s="107" t="str">
        <f t="shared" si="32"/>
        <v/>
      </c>
      <c r="Z77" s="71"/>
    </row>
    <row r="78" spans="1:26" x14ac:dyDescent="0.2">
      <c r="A78" s="108">
        <v>51</v>
      </c>
      <c r="B78" s="132">
        <f t="shared" si="22"/>
        <v>0</v>
      </c>
      <c r="C78" s="104">
        <f t="shared" si="19"/>
        <v>0</v>
      </c>
      <c r="D78" s="132">
        <f t="shared" si="25"/>
        <v>0</v>
      </c>
      <c r="E78" s="132">
        <f t="shared" si="26"/>
        <v>0</v>
      </c>
      <c r="F78" s="132">
        <f t="shared" si="27"/>
        <v>0</v>
      </c>
      <c r="G78" s="114">
        <f>IF(SUM(K$27:K77)&gt;0,0,IF(Y78&lt;&gt;"-",$B$3,0))</f>
        <v>0</v>
      </c>
      <c r="H78" s="114">
        <f t="shared" si="28"/>
        <v>0</v>
      </c>
      <c r="I78" s="105">
        <f t="shared" si="12"/>
        <v>0</v>
      </c>
      <c r="J78" s="105">
        <f t="shared" si="29"/>
        <v>0</v>
      </c>
      <c r="K78" s="132">
        <f t="shared" si="23"/>
        <v>0</v>
      </c>
      <c r="L78" s="133">
        <f t="shared" si="24"/>
        <v>0</v>
      </c>
      <c r="M78" s="132">
        <f>IF(SUM(K$28:K78)&gt;0,MIN(O77*(1+B$9)^(1/12),G$25-G78+K78),0)</f>
        <v>0</v>
      </c>
      <c r="N78" s="132">
        <f t="shared" si="30"/>
        <v>0</v>
      </c>
      <c r="O78" s="133">
        <f t="shared" si="31"/>
        <v>0</v>
      </c>
      <c r="P78" s="103">
        <f>SUM(N$27:N78)</f>
        <v>0</v>
      </c>
      <c r="Q78" s="103">
        <f t="shared" si="21"/>
        <v>0</v>
      </c>
      <c r="R78" s="103">
        <f t="shared" si="14"/>
        <v>0</v>
      </c>
      <c r="S78" s="103">
        <f t="shared" si="15"/>
        <v>0</v>
      </c>
      <c r="T78" s="103">
        <f t="shared" si="16"/>
        <v>0</v>
      </c>
      <c r="U78" s="96" t="s">
        <v>67</v>
      </c>
      <c r="V78" s="96" t="str">
        <f t="shared" si="10"/>
        <v>q</v>
      </c>
      <c r="W78" s="96" t="str">
        <f t="shared" si="17"/>
        <v>-</v>
      </c>
      <c r="X78" s="96" t="str">
        <f t="shared" si="18"/>
        <v>-</v>
      </c>
      <c r="Y78" s="107" t="str">
        <f t="shared" si="32"/>
        <v/>
      </c>
      <c r="Z78" s="71"/>
    </row>
    <row r="79" spans="1:26" x14ac:dyDescent="0.2">
      <c r="A79" s="108">
        <v>52</v>
      </c>
      <c r="B79" s="132">
        <f t="shared" si="22"/>
        <v>0</v>
      </c>
      <c r="C79" s="104">
        <f t="shared" si="19"/>
        <v>0</v>
      </c>
      <c r="D79" s="132">
        <f t="shared" si="25"/>
        <v>0</v>
      </c>
      <c r="E79" s="132">
        <f t="shared" si="26"/>
        <v>0</v>
      </c>
      <c r="F79" s="132">
        <f t="shared" si="27"/>
        <v>0</v>
      </c>
      <c r="G79" s="114">
        <f>IF(SUM(K$27:K78)&gt;0,0,IF(Y79&lt;&gt;"-",$B$3,0))</f>
        <v>0</v>
      </c>
      <c r="H79" s="114">
        <f t="shared" si="28"/>
        <v>0</v>
      </c>
      <c r="I79" s="105">
        <f t="shared" si="12"/>
        <v>0</v>
      </c>
      <c r="J79" s="105">
        <f t="shared" si="29"/>
        <v>0</v>
      </c>
      <c r="K79" s="132">
        <f t="shared" si="23"/>
        <v>0</v>
      </c>
      <c r="L79" s="133">
        <f t="shared" si="24"/>
        <v>0</v>
      </c>
      <c r="M79" s="132">
        <f>IF(SUM(K$28:K79)&gt;0,MIN(O78*(1+B$9)^(1/12),G$25-G79+K79),0)</f>
        <v>0</v>
      </c>
      <c r="N79" s="132">
        <f t="shared" si="30"/>
        <v>0</v>
      </c>
      <c r="O79" s="133">
        <f t="shared" si="31"/>
        <v>0</v>
      </c>
      <c r="P79" s="103">
        <f>SUM(N$27:N79)</f>
        <v>0</v>
      </c>
      <c r="Q79" s="103">
        <f t="shared" si="21"/>
        <v>0</v>
      </c>
      <c r="R79" s="103">
        <f t="shared" si="14"/>
        <v>0</v>
      </c>
      <c r="S79" s="103">
        <f t="shared" si="15"/>
        <v>0</v>
      </c>
      <c r="T79" s="103">
        <f t="shared" si="16"/>
        <v>0</v>
      </c>
      <c r="U79" s="96" t="s">
        <v>67</v>
      </c>
      <c r="V79" s="96" t="str">
        <f t="shared" si="10"/>
        <v>-</v>
      </c>
      <c r="W79" s="96" t="str">
        <f t="shared" si="17"/>
        <v>-</v>
      </c>
      <c r="X79" s="96" t="str">
        <f t="shared" si="18"/>
        <v>-</v>
      </c>
      <c r="Y79" s="107" t="str">
        <f t="shared" si="32"/>
        <v/>
      </c>
      <c r="Z79" s="71"/>
    </row>
    <row r="80" spans="1:26" x14ac:dyDescent="0.2">
      <c r="A80" s="108">
        <v>53</v>
      </c>
      <c r="B80" s="132">
        <f t="shared" si="22"/>
        <v>0</v>
      </c>
      <c r="C80" s="104">
        <f t="shared" si="19"/>
        <v>0</v>
      </c>
      <c r="D80" s="132">
        <f t="shared" si="25"/>
        <v>0</v>
      </c>
      <c r="E80" s="132">
        <f t="shared" si="26"/>
        <v>0</v>
      </c>
      <c r="F80" s="132">
        <f t="shared" si="27"/>
        <v>0</v>
      </c>
      <c r="G80" s="114">
        <f>IF(SUM(K$27:K79)&gt;0,0,IF(Y80&lt;&gt;"-",$B$3,0))</f>
        <v>0</v>
      </c>
      <c r="H80" s="114">
        <f t="shared" si="28"/>
        <v>0</v>
      </c>
      <c r="I80" s="105">
        <f t="shared" si="12"/>
        <v>0</v>
      </c>
      <c r="J80" s="105">
        <f t="shared" si="29"/>
        <v>0</v>
      </c>
      <c r="K80" s="132">
        <f t="shared" si="23"/>
        <v>0</v>
      </c>
      <c r="L80" s="133">
        <f t="shared" si="24"/>
        <v>0</v>
      </c>
      <c r="M80" s="132">
        <f>IF(SUM(K$28:K80)&gt;0,MIN(O79*(1+B$9)^(1/12),G$25-G80+K80),0)</f>
        <v>0</v>
      </c>
      <c r="N80" s="132">
        <f t="shared" si="30"/>
        <v>0</v>
      </c>
      <c r="O80" s="133">
        <f t="shared" si="31"/>
        <v>0</v>
      </c>
      <c r="P80" s="103">
        <f>SUM(N$27:N80)</f>
        <v>0</v>
      </c>
      <c r="Q80" s="103">
        <f t="shared" si="21"/>
        <v>0</v>
      </c>
      <c r="R80" s="103">
        <f t="shared" si="14"/>
        <v>0</v>
      </c>
      <c r="S80" s="103">
        <f t="shared" si="15"/>
        <v>0</v>
      </c>
      <c r="T80" s="103">
        <f t="shared" si="16"/>
        <v>0</v>
      </c>
      <c r="U80" s="96" t="s">
        <v>67</v>
      </c>
      <c r="V80" s="96" t="str">
        <f t="shared" si="10"/>
        <v>-</v>
      </c>
      <c r="W80" s="96" t="str">
        <f t="shared" si="17"/>
        <v>-</v>
      </c>
      <c r="X80" s="96" t="str">
        <f t="shared" si="18"/>
        <v>-</v>
      </c>
      <c r="Y80" s="107" t="str">
        <f t="shared" si="32"/>
        <v/>
      </c>
      <c r="Z80" s="71"/>
    </row>
    <row r="81" spans="1:26" x14ac:dyDescent="0.2">
      <c r="A81" s="108">
        <v>54</v>
      </c>
      <c r="B81" s="132">
        <f t="shared" si="22"/>
        <v>0</v>
      </c>
      <c r="C81" s="104">
        <f t="shared" si="19"/>
        <v>0</v>
      </c>
      <c r="D81" s="132">
        <f t="shared" si="25"/>
        <v>0</v>
      </c>
      <c r="E81" s="132">
        <f t="shared" si="26"/>
        <v>0</v>
      </c>
      <c r="F81" s="132">
        <f t="shared" si="27"/>
        <v>0</v>
      </c>
      <c r="G81" s="114">
        <f>IF(SUM(K$27:K80)&gt;0,0,IF(Y81&lt;&gt;"-",$B$3,0))</f>
        <v>0</v>
      </c>
      <c r="H81" s="114">
        <f t="shared" si="28"/>
        <v>0</v>
      </c>
      <c r="I81" s="105">
        <f t="shared" si="12"/>
        <v>0</v>
      </c>
      <c r="J81" s="105">
        <f t="shared" si="29"/>
        <v>0</v>
      </c>
      <c r="K81" s="132">
        <f t="shared" si="23"/>
        <v>0</v>
      </c>
      <c r="L81" s="133">
        <f t="shared" si="24"/>
        <v>0</v>
      </c>
      <c r="M81" s="132">
        <f>IF(SUM(K$28:K81)&gt;0,MIN(O80*(1+B$9)^(1/12),G$25-G81+K81),0)</f>
        <v>0</v>
      </c>
      <c r="N81" s="132">
        <f t="shared" si="30"/>
        <v>0</v>
      </c>
      <c r="O81" s="133">
        <f t="shared" si="31"/>
        <v>0</v>
      </c>
      <c r="P81" s="103">
        <f>SUM(N$27:N81)</f>
        <v>0</v>
      </c>
      <c r="Q81" s="103">
        <f t="shared" si="21"/>
        <v>0</v>
      </c>
      <c r="R81" s="103">
        <f t="shared" si="14"/>
        <v>0</v>
      </c>
      <c r="S81" s="103">
        <f t="shared" si="15"/>
        <v>0</v>
      </c>
      <c r="T81" s="103">
        <f t="shared" si="16"/>
        <v>0</v>
      </c>
      <c r="U81" s="96" t="s">
        <v>67</v>
      </c>
      <c r="V81" s="96" t="str">
        <f t="shared" si="10"/>
        <v>q</v>
      </c>
      <c r="W81" s="96" t="str">
        <f t="shared" si="17"/>
        <v>s</v>
      </c>
      <c r="X81" s="96" t="str">
        <f t="shared" si="18"/>
        <v>-</v>
      </c>
      <c r="Y81" s="107" t="str">
        <f t="shared" si="32"/>
        <v/>
      </c>
      <c r="Z81" s="71"/>
    </row>
    <row r="82" spans="1:26" x14ac:dyDescent="0.2">
      <c r="A82" s="108">
        <v>55</v>
      </c>
      <c r="B82" s="132">
        <f t="shared" si="22"/>
        <v>0</v>
      </c>
      <c r="C82" s="104">
        <f t="shared" si="19"/>
        <v>0</v>
      </c>
      <c r="D82" s="132">
        <f t="shared" si="25"/>
        <v>0</v>
      </c>
      <c r="E82" s="132">
        <f t="shared" si="26"/>
        <v>0</v>
      </c>
      <c r="F82" s="132">
        <f t="shared" si="27"/>
        <v>0</v>
      </c>
      <c r="G82" s="114">
        <f>IF(SUM(K$27:K81)&gt;0,0,IF(Y82&lt;&gt;"-",$B$3,0))</f>
        <v>0</v>
      </c>
      <c r="H82" s="114">
        <f t="shared" si="28"/>
        <v>0</v>
      </c>
      <c r="I82" s="105">
        <f t="shared" si="12"/>
        <v>0</v>
      </c>
      <c r="J82" s="105">
        <f t="shared" si="29"/>
        <v>0</v>
      </c>
      <c r="K82" s="132">
        <f t="shared" si="23"/>
        <v>0</v>
      </c>
      <c r="L82" s="133">
        <f t="shared" si="24"/>
        <v>0</v>
      </c>
      <c r="M82" s="132">
        <f>IF(SUM(K$28:K82)&gt;0,MIN(O81*(1+B$9)^(1/12),G$25-G82+K82),0)</f>
        <v>0</v>
      </c>
      <c r="N82" s="132">
        <f t="shared" si="30"/>
        <v>0</v>
      </c>
      <c r="O82" s="133">
        <f t="shared" si="31"/>
        <v>0</v>
      </c>
      <c r="P82" s="103">
        <f>SUM(N$27:N82)</f>
        <v>0</v>
      </c>
      <c r="Q82" s="103">
        <f t="shared" si="21"/>
        <v>0</v>
      </c>
      <c r="R82" s="103">
        <f t="shared" si="14"/>
        <v>0</v>
      </c>
      <c r="S82" s="103">
        <f t="shared" si="15"/>
        <v>0</v>
      </c>
      <c r="T82" s="103">
        <f t="shared" si="16"/>
        <v>0</v>
      </c>
      <c r="U82" s="96" t="s">
        <v>67</v>
      </c>
      <c r="V82" s="96" t="str">
        <f t="shared" si="10"/>
        <v>-</v>
      </c>
      <c r="W82" s="96" t="str">
        <f t="shared" si="17"/>
        <v>-</v>
      </c>
      <c r="X82" s="96" t="str">
        <f t="shared" si="18"/>
        <v>-</v>
      </c>
      <c r="Y82" s="107" t="str">
        <f t="shared" si="32"/>
        <v/>
      </c>
      <c r="Z82" s="71"/>
    </row>
    <row r="83" spans="1:26" x14ac:dyDescent="0.2">
      <c r="A83" s="108">
        <v>56</v>
      </c>
      <c r="B83" s="132">
        <f t="shared" si="22"/>
        <v>0</v>
      </c>
      <c r="C83" s="104">
        <f t="shared" si="19"/>
        <v>0</v>
      </c>
      <c r="D83" s="132">
        <f t="shared" si="25"/>
        <v>0</v>
      </c>
      <c r="E83" s="132">
        <f t="shared" si="26"/>
        <v>0</v>
      </c>
      <c r="F83" s="132">
        <f t="shared" si="27"/>
        <v>0</v>
      </c>
      <c r="G83" s="114">
        <f>IF(SUM(K$27:K82)&gt;0,0,IF(Y83&lt;&gt;"-",$B$3,0))</f>
        <v>0</v>
      </c>
      <c r="H83" s="114">
        <f t="shared" si="28"/>
        <v>0</v>
      </c>
      <c r="I83" s="105">
        <f t="shared" si="12"/>
        <v>0</v>
      </c>
      <c r="J83" s="105">
        <f t="shared" si="29"/>
        <v>0</v>
      </c>
      <c r="K83" s="132">
        <f t="shared" si="23"/>
        <v>0</v>
      </c>
      <c r="L83" s="133">
        <f t="shared" si="24"/>
        <v>0</v>
      </c>
      <c r="M83" s="132">
        <f>IF(SUM(K$28:K83)&gt;0,MIN(O82*(1+B$9)^(1/12),G$25-G83+K83),0)</f>
        <v>0</v>
      </c>
      <c r="N83" s="132">
        <f t="shared" si="30"/>
        <v>0</v>
      </c>
      <c r="O83" s="133">
        <f t="shared" si="31"/>
        <v>0</v>
      </c>
      <c r="P83" s="103">
        <f>SUM(N$27:N83)</f>
        <v>0</v>
      </c>
      <c r="Q83" s="103">
        <f t="shared" si="21"/>
        <v>0</v>
      </c>
      <c r="R83" s="103">
        <f t="shared" si="14"/>
        <v>0</v>
      </c>
      <c r="S83" s="103">
        <f t="shared" si="15"/>
        <v>0</v>
      </c>
      <c r="T83" s="103">
        <f t="shared" si="16"/>
        <v>0</v>
      </c>
      <c r="U83" s="96" t="s">
        <v>67</v>
      </c>
      <c r="V83" s="96" t="str">
        <f t="shared" si="10"/>
        <v>-</v>
      </c>
      <c r="W83" s="96" t="str">
        <f t="shared" si="17"/>
        <v>-</v>
      </c>
      <c r="X83" s="96" t="str">
        <f t="shared" si="18"/>
        <v>-</v>
      </c>
      <c r="Y83" s="107" t="str">
        <f t="shared" si="32"/>
        <v/>
      </c>
      <c r="Z83" s="71"/>
    </row>
    <row r="84" spans="1:26" x14ac:dyDescent="0.2">
      <c r="A84" s="108">
        <v>57</v>
      </c>
      <c r="B84" s="132">
        <f t="shared" si="22"/>
        <v>0</v>
      </c>
      <c r="C84" s="104">
        <f t="shared" si="19"/>
        <v>0</v>
      </c>
      <c r="D84" s="132">
        <f t="shared" si="25"/>
        <v>0</v>
      </c>
      <c r="E84" s="132">
        <f t="shared" si="26"/>
        <v>0</v>
      </c>
      <c r="F84" s="132">
        <f t="shared" si="27"/>
        <v>0</v>
      </c>
      <c r="G84" s="114">
        <f>IF(SUM(K$27:K83)&gt;0,0,IF(Y84&lt;&gt;"-",$B$3,0))</f>
        <v>0</v>
      </c>
      <c r="H84" s="114">
        <f t="shared" si="28"/>
        <v>0</v>
      </c>
      <c r="I84" s="105">
        <f t="shared" si="12"/>
        <v>0</v>
      </c>
      <c r="J84" s="105">
        <f t="shared" si="29"/>
        <v>0</v>
      </c>
      <c r="K84" s="132">
        <f t="shared" si="23"/>
        <v>0</v>
      </c>
      <c r="L84" s="133">
        <f t="shared" si="24"/>
        <v>0</v>
      </c>
      <c r="M84" s="132">
        <f>IF(SUM(K$28:K84)&gt;0,MIN(O83*(1+B$9)^(1/12),G$25-G84+K84),0)</f>
        <v>0</v>
      </c>
      <c r="N84" s="132">
        <f t="shared" si="30"/>
        <v>0</v>
      </c>
      <c r="O84" s="133">
        <f t="shared" si="31"/>
        <v>0</v>
      </c>
      <c r="P84" s="103">
        <f>SUM(N$27:N84)</f>
        <v>0</v>
      </c>
      <c r="Q84" s="103">
        <f t="shared" si="21"/>
        <v>0</v>
      </c>
      <c r="R84" s="103">
        <f t="shared" si="14"/>
        <v>0</v>
      </c>
      <c r="S84" s="103">
        <f t="shared" si="15"/>
        <v>0</v>
      </c>
      <c r="T84" s="103">
        <f t="shared" si="16"/>
        <v>0</v>
      </c>
      <c r="U84" s="96" t="s">
        <v>67</v>
      </c>
      <c r="V84" s="96" t="str">
        <f t="shared" si="10"/>
        <v>q</v>
      </c>
      <c r="W84" s="96" t="str">
        <f t="shared" si="17"/>
        <v>-</v>
      </c>
      <c r="X84" s="96" t="str">
        <f t="shared" si="18"/>
        <v>-</v>
      </c>
      <c r="Y84" s="107" t="str">
        <f t="shared" si="32"/>
        <v/>
      </c>
      <c r="Z84" s="71"/>
    </row>
    <row r="85" spans="1:26" x14ac:dyDescent="0.2">
      <c r="A85" s="108">
        <v>58</v>
      </c>
      <c r="B85" s="132">
        <f t="shared" si="22"/>
        <v>0</v>
      </c>
      <c r="C85" s="104">
        <f t="shared" si="19"/>
        <v>0</v>
      </c>
      <c r="D85" s="132">
        <f t="shared" si="25"/>
        <v>0</v>
      </c>
      <c r="E85" s="132">
        <f t="shared" si="26"/>
        <v>0</v>
      </c>
      <c r="F85" s="132">
        <f t="shared" si="27"/>
        <v>0</v>
      </c>
      <c r="G85" s="114">
        <f>IF(SUM(K$27:K84)&gt;0,0,IF(Y85&lt;&gt;"-",$B$3,0))</f>
        <v>0</v>
      </c>
      <c r="H85" s="114">
        <f t="shared" si="28"/>
        <v>0</v>
      </c>
      <c r="I85" s="105">
        <f t="shared" si="12"/>
        <v>0</v>
      </c>
      <c r="J85" s="105">
        <f t="shared" si="29"/>
        <v>0</v>
      </c>
      <c r="K85" s="132">
        <f t="shared" si="23"/>
        <v>0</v>
      </c>
      <c r="L85" s="133">
        <f t="shared" si="24"/>
        <v>0</v>
      </c>
      <c r="M85" s="132">
        <f>IF(SUM(K$28:K85)&gt;0,MIN(O84*(1+B$9)^(1/12),G$25-G85+K85),0)</f>
        <v>0</v>
      </c>
      <c r="N85" s="132">
        <f t="shared" si="30"/>
        <v>0</v>
      </c>
      <c r="O85" s="133">
        <f t="shared" si="31"/>
        <v>0</v>
      </c>
      <c r="P85" s="103">
        <f>SUM(N$27:N85)</f>
        <v>0</v>
      </c>
      <c r="Q85" s="103">
        <f t="shared" si="21"/>
        <v>0</v>
      </c>
      <c r="R85" s="103">
        <f t="shared" si="14"/>
        <v>0</v>
      </c>
      <c r="S85" s="103">
        <f t="shared" si="15"/>
        <v>0</v>
      </c>
      <c r="T85" s="103">
        <f t="shared" si="16"/>
        <v>0</v>
      </c>
      <c r="U85" s="96" t="s">
        <v>67</v>
      </c>
      <c r="V85" s="96" t="str">
        <f t="shared" si="10"/>
        <v>-</v>
      </c>
      <c r="W85" s="96" t="str">
        <f t="shared" si="17"/>
        <v>-</v>
      </c>
      <c r="X85" s="96" t="str">
        <f t="shared" si="18"/>
        <v>-</v>
      </c>
      <c r="Y85" s="107" t="str">
        <f t="shared" si="32"/>
        <v/>
      </c>
      <c r="Z85" s="71"/>
    </row>
    <row r="86" spans="1:26" x14ac:dyDescent="0.2">
      <c r="A86" s="108">
        <v>59</v>
      </c>
      <c r="B86" s="132">
        <f t="shared" si="22"/>
        <v>0</v>
      </c>
      <c r="C86" s="104">
        <f t="shared" si="19"/>
        <v>0</v>
      </c>
      <c r="D86" s="132">
        <f t="shared" si="25"/>
        <v>0</v>
      </c>
      <c r="E86" s="132">
        <f t="shared" si="26"/>
        <v>0</v>
      </c>
      <c r="F86" s="132">
        <f t="shared" si="27"/>
        <v>0</v>
      </c>
      <c r="G86" s="114">
        <f>IF(SUM(K$27:K85)&gt;0,0,IF(Y86&lt;&gt;"-",$B$3,0))</f>
        <v>0</v>
      </c>
      <c r="H86" s="114">
        <f t="shared" si="28"/>
        <v>0</v>
      </c>
      <c r="I86" s="105">
        <f t="shared" si="12"/>
        <v>0</v>
      </c>
      <c r="J86" s="105">
        <f t="shared" si="29"/>
        <v>0</v>
      </c>
      <c r="K86" s="132">
        <f t="shared" si="23"/>
        <v>0</v>
      </c>
      <c r="L86" s="133">
        <f t="shared" si="24"/>
        <v>0</v>
      </c>
      <c r="M86" s="132">
        <f>IF(SUM(K$28:K86)&gt;0,MIN(O85*(1+B$9)^(1/12),G$25-G86+K86),0)</f>
        <v>0</v>
      </c>
      <c r="N86" s="132">
        <f t="shared" si="30"/>
        <v>0</v>
      </c>
      <c r="O86" s="133">
        <f t="shared" si="31"/>
        <v>0</v>
      </c>
      <c r="P86" s="103">
        <f>SUM(N$27:N86)</f>
        <v>0</v>
      </c>
      <c r="Q86" s="103">
        <f t="shared" si="21"/>
        <v>0</v>
      </c>
      <c r="R86" s="103">
        <f t="shared" si="14"/>
        <v>0</v>
      </c>
      <c r="S86" s="103">
        <f t="shared" si="15"/>
        <v>0</v>
      </c>
      <c r="T86" s="103">
        <f t="shared" si="16"/>
        <v>0</v>
      </c>
      <c r="U86" s="96" t="s">
        <v>67</v>
      </c>
      <c r="V86" s="96" t="str">
        <f t="shared" si="10"/>
        <v>-</v>
      </c>
      <c r="W86" s="96" t="str">
        <f t="shared" si="17"/>
        <v>-</v>
      </c>
      <c r="X86" s="96" t="str">
        <f t="shared" si="18"/>
        <v>-</v>
      </c>
      <c r="Y86" s="107" t="str">
        <f t="shared" si="32"/>
        <v/>
      </c>
      <c r="Z86" s="71"/>
    </row>
    <row r="87" spans="1:26" x14ac:dyDescent="0.2">
      <c r="A87" s="110">
        <v>60</v>
      </c>
      <c r="B87" s="111">
        <f t="shared" si="22"/>
        <v>0</v>
      </c>
      <c r="C87" s="111">
        <f t="shared" si="19"/>
        <v>0</v>
      </c>
      <c r="D87" s="111">
        <f t="shared" si="25"/>
        <v>0</v>
      </c>
      <c r="E87" s="111">
        <f t="shared" si="26"/>
        <v>0</v>
      </c>
      <c r="F87" s="111">
        <f t="shared" si="27"/>
        <v>0</v>
      </c>
      <c r="G87" s="112">
        <f>IF(SUM(K$27:K86)&gt;0,0,IF(Y87&lt;&gt;"-",$B$3,0))</f>
        <v>0</v>
      </c>
      <c r="H87" s="112">
        <f t="shared" si="28"/>
        <v>0</v>
      </c>
      <c r="I87" s="112">
        <f t="shared" si="12"/>
        <v>0</v>
      </c>
      <c r="J87" s="112">
        <f t="shared" si="29"/>
        <v>0</v>
      </c>
      <c r="K87" s="111">
        <f t="shared" si="23"/>
        <v>0</v>
      </c>
      <c r="L87" s="113">
        <f t="shared" si="24"/>
        <v>0</v>
      </c>
      <c r="M87" s="111">
        <f>IF(SUM(K$28:K87)&gt;0,MIN(O86*(1+B$9)^(1/12),G$25-G87+K87),0)</f>
        <v>0</v>
      </c>
      <c r="N87" s="111">
        <f t="shared" si="30"/>
        <v>0</v>
      </c>
      <c r="O87" s="113">
        <f t="shared" si="31"/>
        <v>0</v>
      </c>
      <c r="P87" s="111">
        <f>SUM(N$27:N87)</f>
        <v>0</v>
      </c>
      <c r="Q87" s="111">
        <f t="shared" si="21"/>
        <v>0</v>
      </c>
      <c r="R87" s="111">
        <f t="shared" si="14"/>
        <v>0</v>
      </c>
      <c r="S87" s="111">
        <f t="shared" si="15"/>
        <v>0</v>
      </c>
      <c r="T87" s="111">
        <f t="shared" si="16"/>
        <v>0</v>
      </c>
      <c r="U87" s="101" t="s">
        <v>67</v>
      </c>
      <c r="V87" s="101" t="str">
        <f t="shared" si="10"/>
        <v>q</v>
      </c>
      <c r="W87" s="101" t="str">
        <f t="shared" si="17"/>
        <v>s</v>
      </c>
      <c r="X87" s="101" t="str">
        <f t="shared" si="18"/>
        <v>a</v>
      </c>
      <c r="Y87" s="107" t="str">
        <f t="shared" si="32"/>
        <v/>
      </c>
      <c r="Z87" s="71"/>
    </row>
    <row r="88" spans="1:26" x14ac:dyDescent="0.2">
      <c r="A88" s="108">
        <v>61</v>
      </c>
      <c r="B88" s="132">
        <f t="shared" si="22"/>
        <v>0</v>
      </c>
      <c r="C88" s="104">
        <f t="shared" si="19"/>
        <v>0</v>
      </c>
      <c r="D88" s="132">
        <f t="shared" si="25"/>
        <v>0</v>
      </c>
      <c r="E88" s="132">
        <f t="shared" si="26"/>
        <v>0</v>
      </c>
      <c r="F88" s="132">
        <f t="shared" si="27"/>
        <v>0</v>
      </c>
      <c r="G88" s="114">
        <f>IF(SUM(K$27:K87)&gt;0,0,IF(Y88&lt;&gt;"-",$B$3,0))</f>
        <v>0</v>
      </c>
      <c r="H88" s="114">
        <f t="shared" si="28"/>
        <v>0</v>
      </c>
      <c r="I88" s="105">
        <f t="shared" si="12"/>
        <v>0</v>
      </c>
      <c r="J88" s="105">
        <f t="shared" si="29"/>
        <v>0</v>
      </c>
      <c r="K88" s="132">
        <f t="shared" si="23"/>
        <v>0</v>
      </c>
      <c r="L88" s="133">
        <f t="shared" si="24"/>
        <v>0</v>
      </c>
      <c r="M88" s="132">
        <f>IF(SUM(K$28:K88)&gt;0,MIN(O87*(1+B$9)^(1/12),G$25-G88+K88),0)</f>
        <v>0</v>
      </c>
      <c r="N88" s="132">
        <f t="shared" si="30"/>
        <v>0</v>
      </c>
      <c r="O88" s="133">
        <f t="shared" si="31"/>
        <v>0</v>
      </c>
      <c r="P88" s="103">
        <f>SUM(N$27:N88)</f>
        <v>0</v>
      </c>
      <c r="Q88" s="103">
        <f t="shared" si="21"/>
        <v>0</v>
      </c>
      <c r="R88" s="103">
        <f t="shared" si="14"/>
        <v>0</v>
      </c>
      <c r="S88" s="103">
        <f t="shared" si="15"/>
        <v>0</v>
      </c>
      <c r="T88" s="103">
        <f t="shared" si="16"/>
        <v>0</v>
      </c>
      <c r="U88" s="96" t="s">
        <v>67</v>
      </c>
      <c r="V88" s="96" t="str">
        <f t="shared" si="10"/>
        <v>-</v>
      </c>
      <c r="W88" s="96" t="str">
        <f t="shared" si="17"/>
        <v>-</v>
      </c>
      <c r="X88" s="96" t="str">
        <f t="shared" si="18"/>
        <v>-</v>
      </c>
      <c r="Y88" s="107" t="str">
        <f t="shared" si="32"/>
        <v/>
      </c>
      <c r="Z88" s="71"/>
    </row>
    <row r="89" spans="1:26" x14ac:dyDescent="0.2">
      <c r="A89" s="108">
        <v>62</v>
      </c>
      <c r="B89" s="132">
        <f t="shared" si="22"/>
        <v>0</v>
      </c>
      <c r="C89" s="104">
        <f t="shared" si="19"/>
        <v>0</v>
      </c>
      <c r="D89" s="132">
        <f t="shared" si="25"/>
        <v>0</v>
      </c>
      <c r="E89" s="132">
        <f t="shared" si="26"/>
        <v>0</v>
      </c>
      <c r="F89" s="132">
        <f t="shared" si="27"/>
        <v>0</v>
      </c>
      <c r="G89" s="114">
        <f>IF(SUM(K$27:K88)&gt;0,0,IF(Y89&lt;&gt;"-",$B$3,0))</f>
        <v>0</v>
      </c>
      <c r="H89" s="114">
        <f t="shared" si="28"/>
        <v>0</v>
      </c>
      <c r="I89" s="105">
        <f t="shared" si="12"/>
        <v>0</v>
      </c>
      <c r="J89" s="105">
        <f t="shared" si="29"/>
        <v>0</v>
      </c>
      <c r="K89" s="132">
        <f t="shared" si="23"/>
        <v>0</v>
      </c>
      <c r="L89" s="133">
        <f t="shared" si="24"/>
        <v>0</v>
      </c>
      <c r="M89" s="132">
        <f>IF(SUM(K$28:K89)&gt;0,MIN(O88*(1+B$9)^(1/12),G$25-G89+K89),0)</f>
        <v>0</v>
      </c>
      <c r="N89" s="132">
        <f t="shared" si="30"/>
        <v>0</v>
      </c>
      <c r="O89" s="133">
        <f t="shared" si="31"/>
        <v>0</v>
      </c>
      <c r="P89" s="103">
        <f>SUM(N$27:N89)</f>
        <v>0</v>
      </c>
      <c r="Q89" s="103">
        <f t="shared" si="21"/>
        <v>0</v>
      </c>
      <c r="R89" s="103">
        <f t="shared" si="14"/>
        <v>0</v>
      </c>
      <c r="S89" s="103">
        <f t="shared" si="15"/>
        <v>0</v>
      </c>
      <c r="T89" s="103">
        <f t="shared" si="16"/>
        <v>0</v>
      </c>
      <c r="U89" s="96" t="s">
        <v>67</v>
      </c>
      <c r="V89" s="96" t="str">
        <f t="shared" si="10"/>
        <v>-</v>
      </c>
      <c r="W89" s="96" t="str">
        <f t="shared" si="17"/>
        <v>-</v>
      </c>
      <c r="X89" s="96" t="str">
        <f t="shared" si="18"/>
        <v>-</v>
      </c>
      <c r="Y89" s="107" t="str">
        <f t="shared" si="32"/>
        <v/>
      </c>
      <c r="Z89" s="71"/>
    </row>
    <row r="90" spans="1:26" x14ac:dyDescent="0.2">
      <c r="A90" s="108">
        <v>63</v>
      </c>
      <c r="B90" s="132">
        <f t="shared" si="22"/>
        <v>0</v>
      </c>
      <c r="C90" s="104">
        <f t="shared" si="19"/>
        <v>0</v>
      </c>
      <c r="D90" s="132">
        <f t="shared" si="25"/>
        <v>0</v>
      </c>
      <c r="E90" s="132">
        <f t="shared" si="26"/>
        <v>0</v>
      </c>
      <c r="F90" s="132">
        <f t="shared" si="27"/>
        <v>0</v>
      </c>
      <c r="G90" s="114">
        <f>IF(SUM(K$27:K89)&gt;0,0,IF(Y90&lt;&gt;"-",$B$3,0))</f>
        <v>0</v>
      </c>
      <c r="H90" s="114">
        <f t="shared" si="28"/>
        <v>0</v>
      </c>
      <c r="I90" s="105">
        <f t="shared" si="12"/>
        <v>0</v>
      </c>
      <c r="J90" s="105">
        <f t="shared" si="29"/>
        <v>0</v>
      </c>
      <c r="K90" s="132">
        <f t="shared" si="23"/>
        <v>0</v>
      </c>
      <c r="L90" s="133">
        <f t="shared" si="24"/>
        <v>0</v>
      </c>
      <c r="M90" s="132">
        <f>IF(SUM(K$28:K90)&gt;0,MIN(O89*(1+B$9)^(1/12),G$25-G90+K90),0)</f>
        <v>0</v>
      </c>
      <c r="N90" s="132">
        <f t="shared" si="30"/>
        <v>0</v>
      </c>
      <c r="O90" s="133">
        <f t="shared" si="31"/>
        <v>0</v>
      </c>
      <c r="P90" s="103">
        <f>SUM(N$27:N90)</f>
        <v>0</v>
      </c>
      <c r="Q90" s="103">
        <f t="shared" si="21"/>
        <v>0</v>
      </c>
      <c r="R90" s="103">
        <f t="shared" si="14"/>
        <v>0</v>
      </c>
      <c r="S90" s="103">
        <f t="shared" si="15"/>
        <v>0</v>
      </c>
      <c r="T90" s="103">
        <f t="shared" si="16"/>
        <v>0</v>
      </c>
      <c r="U90" s="96" t="s">
        <v>67</v>
      </c>
      <c r="V90" s="96" t="str">
        <f t="shared" si="10"/>
        <v>q</v>
      </c>
      <c r="W90" s="96" t="str">
        <f t="shared" si="17"/>
        <v>-</v>
      </c>
      <c r="X90" s="96" t="str">
        <f t="shared" si="18"/>
        <v>-</v>
      </c>
      <c r="Y90" s="107" t="str">
        <f t="shared" si="32"/>
        <v/>
      </c>
      <c r="Z90" s="71"/>
    </row>
    <row r="91" spans="1:26" x14ac:dyDescent="0.2">
      <c r="A91" s="108">
        <v>64</v>
      </c>
      <c r="B91" s="132">
        <f t="shared" si="22"/>
        <v>0</v>
      </c>
      <c r="C91" s="104">
        <f t="shared" si="19"/>
        <v>0</v>
      </c>
      <c r="D91" s="132">
        <f t="shared" si="25"/>
        <v>0</v>
      </c>
      <c r="E91" s="132">
        <f t="shared" si="26"/>
        <v>0</v>
      </c>
      <c r="F91" s="132">
        <f t="shared" si="27"/>
        <v>0</v>
      </c>
      <c r="G91" s="114">
        <f>IF(SUM(K$27:K90)&gt;0,0,IF(Y91&lt;&gt;"-",$B$3,0))</f>
        <v>0</v>
      </c>
      <c r="H91" s="114">
        <f t="shared" si="28"/>
        <v>0</v>
      </c>
      <c r="I91" s="105">
        <f t="shared" si="12"/>
        <v>0</v>
      </c>
      <c r="J91" s="105">
        <f t="shared" si="29"/>
        <v>0</v>
      </c>
      <c r="K91" s="132">
        <f t="shared" si="23"/>
        <v>0</v>
      </c>
      <c r="L91" s="133">
        <f t="shared" si="24"/>
        <v>0</v>
      </c>
      <c r="M91" s="132">
        <f>IF(SUM(K$28:K91)&gt;0,MIN(O90*(1+B$9)^(1/12),G$25-G91+K91),0)</f>
        <v>0</v>
      </c>
      <c r="N91" s="132">
        <f t="shared" si="30"/>
        <v>0</v>
      </c>
      <c r="O91" s="133">
        <f t="shared" si="31"/>
        <v>0</v>
      </c>
      <c r="P91" s="103">
        <f>SUM(N$27:N91)</f>
        <v>0</v>
      </c>
      <c r="Q91" s="103">
        <f t="shared" si="21"/>
        <v>0</v>
      </c>
      <c r="R91" s="103">
        <f t="shared" si="14"/>
        <v>0</v>
      </c>
      <c r="S91" s="103">
        <f t="shared" si="15"/>
        <v>0</v>
      </c>
      <c r="T91" s="103">
        <f t="shared" si="16"/>
        <v>0</v>
      </c>
      <c r="U91" s="96" t="s">
        <v>67</v>
      </c>
      <c r="V91" s="96" t="str">
        <f t="shared" si="10"/>
        <v>-</v>
      </c>
      <c r="W91" s="96" t="str">
        <f t="shared" si="17"/>
        <v>-</v>
      </c>
      <c r="X91" s="96" t="str">
        <f t="shared" si="18"/>
        <v>-</v>
      </c>
      <c r="Y91" s="107" t="str">
        <f t="shared" si="32"/>
        <v/>
      </c>
      <c r="Z91" s="71"/>
    </row>
    <row r="92" spans="1:26" x14ac:dyDescent="0.2">
      <c r="A92" s="108">
        <v>65</v>
      </c>
      <c r="B92" s="132">
        <f t="shared" si="22"/>
        <v>0</v>
      </c>
      <c r="C92" s="104">
        <f t="shared" si="19"/>
        <v>0</v>
      </c>
      <c r="D92" s="132">
        <f t="shared" ref="D92:D123" si="33">IF(Y92&lt;&gt;"-",$B$2,0)</f>
        <v>0</v>
      </c>
      <c r="E92" s="132">
        <f t="shared" ref="E92:E123" si="34">C92*(1+$B$9)^(1/12)-C92-F92</f>
        <v>0</v>
      </c>
      <c r="F92" s="132">
        <f t="shared" ref="F92:F123" si="35">C92*(1+$B$10)^(1/12)-C92</f>
        <v>0</v>
      </c>
      <c r="G92" s="114">
        <f>IF(SUM(K$27:K91)&gt;0,0,IF(Y92&lt;&gt;"-",$B$3,0))</f>
        <v>0</v>
      </c>
      <c r="H92" s="114">
        <f t="shared" ref="H92:H123" si="36">IF($B$7="No",F92,0)</f>
        <v>0</v>
      </c>
      <c r="I92" s="105">
        <f t="shared" si="12"/>
        <v>0</v>
      </c>
      <c r="J92" s="105">
        <f t="shared" ref="J92:J123" si="37">VLOOKUP(C92,$D$3:$J$9,7,TRUE)-VLOOKUP(C92,$D$3:$J$9,4,TRUE)*(VLOOKUP(C92,$D$3:$J$9,2,TRUE)-C92)/12</f>
        <v>0</v>
      </c>
      <c r="K92" s="132">
        <f t="shared" si="23"/>
        <v>0</v>
      </c>
      <c r="L92" s="133">
        <f t="shared" si="24"/>
        <v>0</v>
      </c>
      <c r="M92" s="132">
        <f>IF(SUM(K$28:K92)&gt;0,MIN(O91*(1+B$9)^(1/12),G$25-G92+K92),0)</f>
        <v>0</v>
      </c>
      <c r="N92" s="132">
        <f t="shared" ref="N92:N123" si="38">(O91-L91)*((1+B$9)^(1/12)-1)+J92+I92</f>
        <v>0</v>
      </c>
      <c r="O92" s="133">
        <f t="shared" ref="O92:O123" si="39">(O91)*(1+B$9)^(1/12)+D92-G92-H92-M92+K92/(1+B$9)</f>
        <v>0</v>
      </c>
      <c r="P92" s="103">
        <f>SUM(N$27:N92)</f>
        <v>0</v>
      </c>
      <c r="Q92" s="103">
        <f t="shared" si="21"/>
        <v>0</v>
      </c>
      <c r="R92" s="103">
        <f t="shared" si="14"/>
        <v>0</v>
      </c>
      <c r="S92" s="103">
        <f t="shared" si="15"/>
        <v>0</v>
      </c>
      <c r="T92" s="103">
        <f t="shared" si="16"/>
        <v>0</v>
      </c>
      <c r="U92" s="96" t="s">
        <v>67</v>
      </c>
      <c r="V92" s="96" t="str">
        <f t="shared" ref="V92:V147" si="40">IF(MOD(A92,3)=0,"q","-")</f>
        <v>-</v>
      </c>
      <c r="W92" s="96" t="str">
        <f t="shared" si="17"/>
        <v>-</v>
      </c>
      <c r="X92" s="96" t="str">
        <f t="shared" si="18"/>
        <v>-</v>
      </c>
      <c r="Y92" s="107" t="str">
        <f t="shared" ref="Y92:Y123" si="41">IF($B$15="Monthly",$U92,"")
&amp;IF($B$15="Quarterly",$V92,"")
&amp;IF($B$15="1/2 Yearly",$W92,"")
&amp;IF($B$15="Yearly",$X92,"")</f>
        <v/>
      </c>
      <c r="Z92" s="71"/>
    </row>
    <row r="93" spans="1:26" x14ac:dyDescent="0.2">
      <c r="A93" s="108">
        <v>66</v>
      </c>
      <c r="B93" s="132">
        <f t="shared" si="22"/>
        <v>0</v>
      </c>
      <c r="C93" s="104">
        <f t="shared" si="19"/>
        <v>0</v>
      </c>
      <c r="D93" s="132">
        <f t="shared" si="33"/>
        <v>0</v>
      </c>
      <c r="E93" s="132">
        <f t="shared" si="34"/>
        <v>0</v>
      </c>
      <c r="F93" s="132">
        <f t="shared" si="35"/>
        <v>0</v>
      </c>
      <c r="G93" s="114">
        <f>IF(SUM(K$27:K92)&gt;0,0,IF(Y93&lt;&gt;"-",$B$3,0))</f>
        <v>0</v>
      </c>
      <c r="H93" s="114">
        <f t="shared" si="36"/>
        <v>0</v>
      </c>
      <c r="I93" s="105">
        <f t="shared" ref="I93:I147" si="42">IF( A93&lt;12,($B$4+$B$6)*D93,IF(MOD(A93,12)=1,$B$8+($B$4+$B$6)*D93,($B$4+$B$6)*D93))</f>
        <v>0</v>
      </c>
      <c r="J93" s="105">
        <f t="shared" si="37"/>
        <v>0</v>
      </c>
      <c r="K93" s="132">
        <f t="shared" si="23"/>
        <v>0</v>
      </c>
      <c r="L93" s="133">
        <f t="shared" si="24"/>
        <v>0</v>
      </c>
      <c r="M93" s="132">
        <f>IF(SUM(K$28:K93)&gt;0,MIN(O92*(1+B$9)^(1/12),G$25-G93+K93),0)</f>
        <v>0</v>
      </c>
      <c r="N93" s="132">
        <f t="shared" si="38"/>
        <v>0</v>
      </c>
      <c r="O93" s="133">
        <f t="shared" si="39"/>
        <v>0</v>
      </c>
      <c r="P93" s="103">
        <f>SUM(N$27:N93)</f>
        <v>0</v>
      </c>
      <c r="Q93" s="103">
        <f t="shared" si="21"/>
        <v>0</v>
      </c>
      <c r="R93" s="103">
        <f t="shared" ref="R93:R147" si="43">R92+G93</f>
        <v>0</v>
      </c>
      <c r="S93" s="103">
        <f t="shared" ref="S93:S147" si="44">H93+S92</f>
        <v>0</v>
      </c>
      <c r="T93" s="103">
        <f t="shared" ref="T93:T147" si="45">L93</f>
        <v>0</v>
      </c>
      <c r="U93" s="96" t="s">
        <v>67</v>
      </c>
      <c r="V93" s="96" t="str">
        <f t="shared" si="40"/>
        <v>q</v>
      </c>
      <c r="W93" s="96" t="str">
        <f t="shared" ref="W93:W147" si="46">IF(MOD($A93,6)=0,"s","-")</f>
        <v>s</v>
      </c>
      <c r="X93" s="96" t="str">
        <f t="shared" ref="X93:X147" si="47">IF(MOD($A93,12)=0,"a","-")</f>
        <v>-</v>
      </c>
      <c r="Y93" s="107" t="str">
        <f t="shared" si="41"/>
        <v/>
      </c>
      <c r="Z93" s="71"/>
    </row>
    <row r="94" spans="1:26" x14ac:dyDescent="0.2">
      <c r="A94" s="108">
        <v>67</v>
      </c>
      <c r="B94" s="132">
        <f t="shared" si="22"/>
        <v>0</v>
      </c>
      <c r="C94" s="104">
        <f t="shared" ref="C94:C147" si="48">L93</f>
        <v>0</v>
      </c>
      <c r="D94" s="132">
        <f t="shared" si="33"/>
        <v>0</v>
      </c>
      <c r="E94" s="132">
        <f t="shared" si="34"/>
        <v>0</v>
      </c>
      <c r="F94" s="132">
        <f t="shared" si="35"/>
        <v>0</v>
      </c>
      <c r="G94" s="114">
        <f>IF(SUM(K$27:K93)&gt;0,0,IF(Y94&lt;&gt;"-",$B$3,0))</f>
        <v>0</v>
      </c>
      <c r="H94" s="114">
        <f t="shared" si="36"/>
        <v>0</v>
      </c>
      <c r="I94" s="105">
        <f t="shared" si="42"/>
        <v>0</v>
      </c>
      <c r="J94" s="105">
        <f t="shared" si="37"/>
        <v>0</v>
      </c>
      <c r="K94" s="132">
        <f t="shared" si="23"/>
        <v>0</v>
      </c>
      <c r="L94" s="133">
        <f t="shared" si="24"/>
        <v>0</v>
      </c>
      <c r="M94" s="132">
        <f>IF(SUM(K$28:K94)&gt;0,MIN(O93*(1+B$9)^(1/12),G$25-G94+K94),0)</f>
        <v>0</v>
      </c>
      <c r="N94" s="132">
        <f t="shared" si="38"/>
        <v>0</v>
      </c>
      <c r="O94" s="133">
        <f t="shared" si="39"/>
        <v>0</v>
      </c>
      <c r="P94" s="103">
        <f>SUM(N$27:N94)</f>
        <v>0</v>
      </c>
      <c r="Q94" s="103">
        <f t="shared" si="21"/>
        <v>0</v>
      </c>
      <c r="R94" s="103">
        <f t="shared" si="43"/>
        <v>0</v>
      </c>
      <c r="S94" s="103">
        <f t="shared" si="44"/>
        <v>0</v>
      </c>
      <c r="T94" s="103">
        <f t="shared" si="45"/>
        <v>0</v>
      </c>
      <c r="U94" s="96" t="s">
        <v>67</v>
      </c>
      <c r="V94" s="96" t="str">
        <f t="shared" si="40"/>
        <v>-</v>
      </c>
      <c r="W94" s="96" t="str">
        <f t="shared" si="46"/>
        <v>-</v>
      </c>
      <c r="X94" s="96" t="str">
        <f t="shared" si="47"/>
        <v>-</v>
      </c>
      <c r="Y94" s="107" t="str">
        <f t="shared" si="41"/>
        <v/>
      </c>
      <c r="Z94" s="71"/>
    </row>
    <row r="95" spans="1:26" x14ac:dyDescent="0.2">
      <c r="A95" s="108">
        <v>68</v>
      </c>
      <c r="B95" s="132">
        <f t="shared" si="22"/>
        <v>0</v>
      </c>
      <c r="C95" s="104">
        <f t="shared" si="48"/>
        <v>0</v>
      </c>
      <c r="D95" s="132">
        <f t="shared" si="33"/>
        <v>0</v>
      </c>
      <c r="E95" s="132">
        <f t="shared" si="34"/>
        <v>0</v>
      </c>
      <c r="F95" s="132">
        <f t="shared" si="35"/>
        <v>0</v>
      </c>
      <c r="G95" s="114">
        <f>IF(SUM(K$27:K94)&gt;0,0,IF(Y95&lt;&gt;"-",$B$3,0))</f>
        <v>0</v>
      </c>
      <c r="H95" s="114">
        <f t="shared" si="36"/>
        <v>0</v>
      </c>
      <c r="I95" s="105">
        <f t="shared" si="42"/>
        <v>0</v>
      </c>
      <c r="J95" s="105">
        <f t="shared" si="37"/>
        <v>0</v>
      </c>
      <c r="K95" s="132">
        <f t="shared" si="23"/>
        <v>0</v>
      </c>
      <c r="L95" s="133">
        <f t="shared" si="24"/>
        <v>0</v>
      </c>
      <c r="M95" s="132">
        <f>IF(SUM(K$28:K95)&gt;0,MIN(O94*(1+B$9)^(1/12),G$25-G95+K95),0)</f>
        <v>0</v>
      </c>
      <c r="N95" s="132">
        <f t="shared" si="38"/>
        <v>0</v>
      </c>
      <c r="O95" s="133">
        <f t="shared" si="39"/>
        <v>0</v>
      </c>
      <c r="P95" s="103">
        <f>SUM(N$27:N95)</f>
        <v>0</v>
      </c>
      <c r="Q95" s="103">
        <f t="shared" si="21"/>
        <v>0</v>
      </c>
      <c r="R95" s="103">
        <f t="shared" si="43"/>
        <v>0</v>
      </c>
      <c r="S95" s="103">
        <f t="shared" si="44"/>
        <v>0</v>
      </c>
      <c r="T95" s="103">
        <f t="shared" si="45"/>
        <v>0</v>
      </c>
      <c r="U95" s="96" t="s">
        <v>67</v>
      </c>
      <c r="V95" s="96" t="str">
        <f t="shared" si="40"/>
        <v>-</v>
      </c>
      <c r="W95" s="96" t="str">
        <f t="shared" si="46"/>
        <v>-</v>
      </c>
      <c r="X95" s="96" t="str">
        <f t="shared" si="47"/>
        <v>-</v>
      </c>
      <c r="Y95" s="107" t="str">
        <f t="shared" si="41"/>
        <v/>
      </c>
      <c r="Z95" s="71"/>
    </row>
    <row r="96" spans="1:26" x14ac:dyDescent="0.2">
      <c r="A96" s="108">
        <v>69</v>
      </c>
      <c r="B96" s="132">
        <f t="shared" si="22"/>
        <v>0</v>
      </c>
      <c r="C96" s="104">
        <f t="shared" si="48"/>
        <v>0</v>
      </c>
      <c r="D96" s="132">
        <f t="shared" si="33"/>
        <v>0</v>
      </c>
      <c r="E96" s="132">
        <f t="shared" si="34"/>
        <v>0</v>
      </c>
      <c r="F96" s="132">
        <f t="shared" si="35"/>
        <v>0</v>
      </c>
      <c r="G96" s="114">
        <f>IF(SUM(K$27:K95)&gt;0,0,IF(Y96&lt;&gt;"-",$B$3,0))</f>
        <v>0</v>
      </c>
      <c r="H96" s="114">
        <f t="shared" si="36"/>
        <v>0</v>
      </c>
      <c r="I96" s="105">
        <f t="shared" si="42"/>
        <v>0</v>
      </c>
      <c r="J96" s="105">
        <f t="shared" si="37"/>
        <v>0</v>
      </c>
      <c r="K96" s="132">
        <f t="shared" si="23"/>
        <v>0</v>
      </c>
      <c r="L96" s="133">
        <f t="shared" si="24"/>
        <v>0</v>
      </c>
      <c r="M96" s="132">
        <f>IF(SUM(K$28:K96)&gt;0,MIN(O95*(1+B$9)^(1/12),G$25-G96+K96),0)</f>
        <v>0</v>
      </c>
      <c r="N96" s="132">
        <f t="shared" si="38"/>
        <v>0</v>
      </c>
      <c r="O96" s="133">
        <f t="shared" si="39"/>
        <v>0</v>
      </c>
      <c r="P96" s="103">
        <f>SUM(N$27:N96)</f>
        <v>0</v>
      </c>
      <c r="Q96" s="103">
        <f t="shared" ref="Q96:Q147" si="49">Q95+D96</f>
        <v>0</v>
      </c>
      <c r="R96" s="103">
        <f t="shared" si="43"/>
        <v>0</v>
      </c>
      <c r="S96" s="103">
        <f t="shared" si="44"/>
        <v>0</v>
      </c>
      <c r="T96" s="103">
        <f t="shared" si="45"/>
        <v>0</v>
      </c>
      <c r="U96" s="96" t="s">
        <v>67</v>
      </c>
      <c r="V96" s="96" t="str">
        <f t="shared" si="40"/>
        <v>q</v>
      </c>
      <c r="W96" s="96" t="str">
        <f t="shared" si="46"/>
        <v>-</v>
      </c>
      <c r="X96" s="96" t="str">
        <f t="shared" si="47"/>
        <v>-</v>
      </c>
      <c r="Y96" s="107" t="str">
        <f t="shared" si="41"/>
        <v/>
      </c>
      <c r="Z96" s="71"/>
    </row>
    <row r="97" spans="1:26" x14ac:dyDescent="0.2">
      <c r="A97" s="108">
        <v>70</v>
      </c>
      <c r="B97" s="132">
        <f t="shared" si="22"/>
        <v>0</v>
      </c>
      <c r="C97" s="104">
        <f t="shared" si="48"/>
        <v>0</v>
      </c>
      <c r="D97" s="132">
        <f t="shared" si="33"/>
        <v>0</v>
      </c>
      <c r="E97" s="132">
        <f t="shared" si="34"/>
        <v>0</v>
      </c>
      <c r="F97" s="132">
        <f t="shared" si="35"/>
        <v>0</v>
      </c>
      <c r="G97" s="114">
        <f>IF(SUM(K$27:K96)&gt;0,0,IF(Y97&lt;&gt;"-",$B$3,0))</f>
        <v>0</v>
      </c>
      <c r="H97" s="114">
        <f t="shared" si="36"/>
        <v>0</v>
      </c>
      <c r="I97" s="105">
        <f t="shared" si="42"/>
        <v>0</v>
      </c>
      <c r="J97" s="105">
        <f t="shared" si="37"/>
        <v>0</v>
      </c>
      <c r="K97" s="132">
        <f t="shared" si="23"/>
        <v>0</v>
      </c>
      <c r="L97" s="133">
        <f t="shared" si="24"/>
        <v>0</v>
      </c>
      <c r="M97" s="132">
        <f>IF(SUM(K$28:K97)&gt;0,MIN(O96*(1+B$9)^(1/12),G$25-G97+K97),0)</f>
        <v>0</v>
      </c>
      <c r="N97" s="132">
        <f t="shared" si="38"/>
        <v>0</v>
      </c>
      <c r="O97" s="133">
        <f t="shared" si="39"/>
        <v>0</v>
      </c>
      <c r="P97" s="103">
        <f>SUM(N$27:N97)</f>
        <v>0</v>
      </c>
      <c r="Q97" s="103">
        <f t="shared" si="49"/>
        <v>0</v>
      </c>
      <c r="R97" s="103">
        <f t="shared" si="43"/>
        <v>0</v>
      </c>
      <c r="S97" s="103">
        <f t="shared" si="44"/>
        <v>0</v>
      </c>
      <c r="T97" s="103">
        <f t="shared" si="45"/>
        <v>0</v>
      </c>
      <c r="U97" s="96" t="s">
        <v>67</v>
      </c>
      <c r="V97" s="96" t="str">
        <f t="shared" si="40"/>
        <v>-</v>
      </c>
      <c r="W97" s="96" t="str">
        <f t="shared" si="46"/>
        <v>-</v>
      </c>
      <c r="X97" s="96" t="str">
        <f t="shared" si="47"/>
        <v>-</v>
      </c>
      <c r="Y97" s="107" t="str">
        <f t="shared" si="41"/>
        <v/>
      </c>
      <c r="Z97" s="71"/>
    </row>
    <row r="98" spans="1:26" x14ac:dyDescent="0.2">
      <c r="A98" s="108">
        <v>71</v>
      </c>
      <c r="B98" s="132">
        <f t="shared" si="22"/>
        <v>0</v>
      </c>
      <c r="C98" s="104">
        <f t="shared" si="48"/>
        <v>0</v>
      </c>
      <c r="D98" s="132">
        <f t="shared" si="33"/>
        <v>0</v>
      </c>
      <c r="E98" s="132">
        <f t="shared" si="34"/>
        <v>0</v>
      </c>
      <c r="F98" s="132">
        <f t="shared" si="35"/>
        <v>0</v>
      </c>
      <c r="G98" s="114">
        <f>IF(SUM(K$27:K97)&gt;0,0,IF(Y98&lt;&gt;"-",$B$3,0))</f>
        <v>0</v>
      </c>
      <c r="H98" s="114">
        <f t="shared" si="36"/>
        <v>0</v>
      </c>
      <c r="I98" s="105">
        <f t="shared" si="42"/>
        <v>0</v>
      </c>
      <c r="J98" s="105">
        <f t="shared" si="37"/>
        <v>0</v>
      </c>
      <c r="K98" s="132">
        <f t="shared" si="23"/>
        <v>0</v>
      </c>
      <c r="L98" s="133">
        <f t="shared" si="24"/>
        <v>0</v>
      </c>
      <c r="M98" s="132">
        <f>IF(SUM(K$28:K98)&gt;0,MIN(O97*(1+B$9)^(1/12),G$25-G98+K98),0)</f>
        <v>0</v>
      </c>
      <c r="N98" s="132">
        <f t="shared" si="38"/>
        <v>0</v>
      </c>
      <c r="O98" s="133">
        <f t="shared" si="39"/>
        <v>0</v>
      </c>
      <c r="P98" s="103">
        <f>SUM(N$27:N98)</f>
        <v>0</v>
      </c>
      <c r="Q98" s="103">
        <f t="shared" si="49"/>
        <v>0</v>
      </c>
      <c r="R98" s="103">
        <f t="shared" si="43"/>
        <v>0</v>
      </c>
      <c r="S98" s="103">
        <f t="shared" si="44"/>
        <v>0</v>
      </c>
      <c r="T98" s="103">
        <f t="shared" si="45"/>
        <v>0</v>
      </c>
      <c r="U98" s="96" t="s">
        <v>67</v>
      </c>
      <c r="V98" s="96" t="str">
        <f t="shared" si="40"/>
        <v>-</v>
      </c>
      <c r="W98" s="96" t="str">
        <f t="shared" si="46"/>
        <v>-</v>
      </c>
      <c r="X98" s="96" t="str">
        <f t="shared" si="47"/>
        <v>-</v>
      </c>
      <c r="Y98" s="107" t="str">
        <f t="shared" si="41"/>
        <v/>
      </c>
      <c r="Z98" s="71"/>
    </row>
    <row r="99" spans="1:26" x14ac:dyDescent="0.2">
      <c r="A99" s="110">
        <v>72</v>
      </c>
      <c r="B99" s="111">
        <f t="shared" si="22"/>
        <v>0</v>
      </c>
      <c r="C99" s="111">
        <f t="shared" si="48"/>
        <v>0</v>
      </c>
      <c r="D99" s="111">
        <f t="shared" si="33"/>
        <v>0</v>
      </c>
      <c r="E99" s="111">
        <f t="shared" si="34"/>
        <v>0</v>
      </c>
      <c r="F99" s="111">
        <f t="shared" si="35"/>
        <v>0</v>
      </c>
      <c r="G99" s="112">
        <f>IF(SUM(K$27:K98)&gt;0,0,IF(Y99&lt;&gt;"-",$B$3,0))</f>
        <v>0</v>
      </c>
      <c r="H99" s="112">
        <f t="shared" si="36"/>
        <v>0</v>
      </c>
      <c r="I99" s="112">
        <f t="shared" si="42"/>
        <v>0</v>
      </c>
      <c r="J99" s="112">
        <f t="shared" si="37"/>
        <v>0</v>
      </c>
      <c r="K99" s="111">
        <f t="shared" si="23"/>
        <v>0</v>
      </c>
      <c r="L99" s="113">
        <f t="shared" si="24"/>
        <v>0</v>
      </c>
      <c r="M99" s="111">
        <f>IF(SUM(K$28:K99)&gt;0,MIN(O98*(1+B$9)^(1/12),G$25-G99+K99),0)</f>
        <v>0</v>
      </c>
      <c r="N99" s="111">
        <f t="shared" si="38"/>
        <v>0</v>
      </c>
      <c r="O99" s="113">
        <f t="shared" si="39"/>
        <v>0</v>
      </c>
      <c r="P99" s="111">
        <f>SUM(N$27:N99)</f>
        <v>0</v>
      </c>
      <c r="Q99" s="111">
        <f t="shared" si="49"/>
        <v>0</v>
      </c>
      <c r="R99" s="111">
        <f t="shared" si="43"/>
        <v>0</v>
      </c>
      <c r="S99" s="111">
        <f t="shared" si="44"/>
        <v>0</v>
      </c>
      <c r="T99" s="111">
        <f t="shared" si="45"/>
        <v>0</v>
      </c>
      <c r="U99" s="101" t="s">
        <v>67</v>
      </c>
      <c r="V99" s="101" t="str">
        <f t="shared" si="40"/>
        <v>q</v>
      </c>
      <c r="W99" s="101" t="str">
        <f t="shared" si="46"/>
        <v>s</v>
      </c>
      <c r="X99" s="101" t="str">
        <f t="shared" si="47"/>
        <v>a</v>
      </c>
      <c r="Y99" s="107" t="str">
        <f t="shared" si="41"/>
        <v/>
      </c>
      <c r="Z99" s="71"/>
    </row>
    <row r="100" spans="1:26" x14ac:dyDescent="0.2">
      <c r="A100" s="108">
        <v>73</v>
      </c>
      <c r="B100" s="132">
        <f t="shared" si="22"/>
        <v>0</v>
      </c>
      <c r="C100" s="104">
        <f t="shared" si="48"/>
        <v>0</v>
      </c>
      <c r="D100" s="132">
        <f t="shared" si="33"/>
        <v>0</v>
      </c>
      <c r="E100" s="132">
        <f t="shared" si="34"/>
        <v>0</v>
      </c>
      <c r="F100" s="132">
        <f t="shared" si="35"/>
        <v>0</v>
      </c>
      <c r="G100" s="114">
        <f>IF(SUM(K$27:K99)&gt;0,0,IF(Y100&lt;&gt;"-",$B$3,0))</f>
        <v>0</v>
      </c>
      <c r="H100" s="114">
        <f t="shared" si="36"/>
        <v>0</v>
      </c>
      <c r="I100" s="105">
        <f t="shared" si="42"/>
        <v>0</v>
      </c>
      <c r="J100" s="105">
        <f t="shared" si="37"/>
        <v>0</v>
      </c>
      <c r="K100" s="132">
        <f t="shared" si="23"/>
        <v>0</v>
      </c>
      <c r="L100" s="133">
        <f t="shared" si="24"/>
        <v>0</v>
      </c>
      <c r="M100" s="132">
        <f>IF(SUM(K$28:K100)&gt;0,MIN(O99*(1+B$9)^(1/12),G$25-G100+K100),0)</f>
        <v>0</v>
      </c>
      <c r="N100" s="132">
        <f t="shared" si="38"/>
        <v>0</v>
      </c>
      <c r="O100" s="133">
        <f t="shared" si="39"/>
        <v>0</v>
      </c>
      <c r="P100" s="103">
        <f>SUM(N$27:N100)</f>
        <v>0</v>
      </c>
      <c r="Q100" s="103">
        <f t="shared" si="49"/>
        <v>0</v>
      </c>
      <c r="R100" s="103">
        <f t="shared" si="43"/>
        <v>0</v>
      </c>
      <c r="S100" s="103">
        <f t="shared" si="44"/>
        <v>0</v>
      </c>
      <c r="T100" s="103">
        <f t="shared" si="45"/>
        <v>0</v>
      </c>
      <c r="U100" s="96" t="s">
        <v>67</v>
      </c>
      <c r="V100" s="96" t="str">
        <f t="shared" si="40"/>
        <v>-</v>
      </c>
      <c r="W100" s="96" t="str">
        <f t="shared" si="46"/>
        <v>-</v>
      </c>
      <c r="X100" s="96" t="str">
        <f t="shared" si="47"/>
        <v>-</v>
      </c>
      <c r="Y100" s="107" t="str">
        <f t="shared" si="41"/>
        <v/>
      </c>
      <c r="Z100" s="71"/>
    </row>
    <row r="101" spans="1:26" x14ac:dyDescent="0.2">
      <c r="A101" s="108">
        <v>74</v>
      </c>
      <c r="B101" s="132">
        <f t="shared" si="22"/>
        <v>0</v>
      </c>
      <c r="C101" s="104">
        <f t="shared" si="48"/>
        <v>0</v>
      </c>
      <c r="D101" s="132">
        <f t="shared" si="33"/>
        <v>0</v>
      </c>
      <c r="E101" s="132">
        <f t="shared" si="34"/>
        <v>0</v>
      </c>
      <c r="F101" s="132">
        <f t="shared" si="35"/>
        <v>0</v>
      </c>
      <c r="G101" s="114">
        <f>IF(SUM(K$27:K100)&gt;0,0,IF(Y101&lt;&gt;"-",$B$3,0))</f>
        <v>0</v>
      </c>
      <c r="H101" s="114">
        <f t="shared" si="36"/>
        <v>0</v>
      </c>
      <c r="I101" s="105">
        <f t="shared" si="42"/>
        <v>0</v>
      </c>
      <c r="J101" s="105">
        <f t="shared" si="37"/>
        <v>0</v>
      </c>
      <c r="K101" s="132">
        <f t="shared" si="23"/>
        <v>0</v>
      </c>
      <c r="L101" s="133">
        <f t="shared" si="24"/>
        <v>0</v>
      </c>
      <c r="M101" s="132">
        <f>IF(SUM(K$28:K101)&gt;0,MIN(O100*(1+B$9)^(1/12),G$25-G101+K101),0)</f>
        <v>0</v>
      </c>
      <c r="N101" s="132">
        <f t="shared" si="38"/>
        <v>0</v>
      </c>
      <c r="O101" s="133">
        <f t="shared" si="39"/>
        <v>0</v>
      </c>
      <c r="P101" s="103">
        <f>SUM(N$27:N101)</f>
        <v>0</v>
      </c>
      <c r="Q101" s="103">
        <f t="shared" si="49"/>
        <v>0</v>
      </c>
      <c r="R101" s="103">
        <f t="shared" si="43"/>
        <v>0</v>
      </c>
      <c r="S101" s="103">
        <f t="shared" si="44"/>
        <v>0</v>
      </c>
      <c r="T101" s="103">
        <f t="shared" si="45"/>
        <v>0</v>
      </c>
      <c r="U101" s="96" t="s">
        <v>67</v>
      </c>
      <c r="V101" s="96" t="str">
        <f t="shared" si="40"/>
        <v>-</v>
      </c>
      <c r="W101" s="96" t="str">
        <f t="shared" si="46"/>
        <v>-</v>
      </c>
      <c r="X101" s="96" t="str">
        <f t="shared" si="47"/>
        <v>-</v>
      </c>
      <c r="Y101" s="107" t="str">
        <f t="shared" si="41"/>
        <v/>
      </c>
      <c r="Z101" s="71"/>
    </row>
    <row r="102" spans="1:26" x14ac:dyDescent="0.2">
      <c r="A102" s="108">
        <v>75</v>
      </c>
      <c r="B102" s="132">
        <f t="shared" si="22"/>
        <v>0</v>
      </c>
      <c r="C102" s="104">
        <f t="shared" si="48"/>
        <v>0</v>
      </c>
      <c r="D102" s="132">
        <f t="shared" si="33"/>
        <v>0</v>
      </c>
      <c r="E102" s="132">
        <f t="shared" si="34"/>
        <v>0</v>
      </c>
      <c r="F102" s="132">
        <f t="shared" si="35"/>
        <v>0</v>
      </c>
      <c r="G102" s="114">
        <f>IF(SUM(K$27:K101)&gt;0,0,IF(Y102&lt;&gt;"-",$B$3,0))</f>
        <v>0</v>
      </c>
      <c r="H102" s="114">
        <f t="shared" si="36"/>
        <v>0</v>
      </c>
      <c r="I102" s="105">
        <f t="shared" si="42"/>
        <v>0</v>
      </c>
      <c r="J102" s="105">
        <f t="shared" si="37"/>
        <v>0</v>
      </c>
      <c r="K102" s="132">
        <f t="shared" si="23"/>
        <v>0</v>
      </c>
      <c r="L102" s="133">
        <f t="shared" si="24"/>
        <v>0</v>
      </c>
      <c r="M102" s="132">
        <f>IF(SUM(K$28:K102)&gt;0,MIN(O101*(1+B$9)^(1/12),G$25-G102+K102),0)</f>
        <v>0</v>
      </c>
      <c r="N102" s="132">
        <f t="shared" si="38"/>
        <v>0</v>
      </c>
      <c r="O102" s="133">
        <f t="shared" si="39"/>
        <v>0</v>
      </c>
      <c r="P102" s="103">
        <f>SUM(N$27:N102)</f>
        <v>0</v>
      </c>
      <c r="Q102" s="103">
        <f t="shared" si="49"/>
        <v>0</v>
      </c>
      <c r="R102" s="103">
        <f t="shared" si="43"/>
        <v>0</v>
      </c>
      <c r="S102" s="103">
        <f t="shared" si="44"/>
        <v>0</v>
      </c>
      <c r="T102" s="103">
        <f t="shared" si="45"/>
        <v>0</v>
      </c>
      <c r="U102" s="96" t="s">
        <v>67</v>
      </c>
      <c r="V102" s="96" t="str">
        <f t="shared" si="40"/>
        <v>q</v>
      </c>
      <c r="W102" s="96" t="str">
        <f t="shared" si="46"/>
        <v>-</v>
      </c>
      <c r="X102" s="96" t="str">
        <f t="shared" si="47"/>
        <v>-</v>
      </c>
      <c r="Y102" s="107" t="str">
        <f t="shared" si="41"/>
        <v/>
      </c>
      <c r="Z102" s="71"/>
    </row>
    <row r="103" spans="1:26" x14ac:dyDescent="0.2">
      <c r="A103" s="108">
        <v>76</v>
      </c>
      <c r="B103" s="132">
        <f t="shared" si="22"/>
        <v>0</v>
      </c>
      <c r="C103" s="104">
        <f t="shared" si="48"/>
        <v>0</v>
      </c>
      <c r="D103" s="132">
        <f t="shared" si="33"/>
        <v>0</v>
      </c>
      <c r="E103" s="132">
        <f t="shared" si="34"/>
        <v>0</v>
      </c>
      <c r="F103" s="132">
        <f t="shared" si="35"/>
        <v>0</v>
      </c>
      <c r="G103" s="114">
        <f>IF(SUM(K$27:K102)&gt;0,0,IF(Y103&lt;&gt;"-",$B$3,0))</f>
        <v>0</v>
      </c>
      <c r="H103" s="114">
        <f t="shared" si="36"/>
        <v>0</v>
      </c>
      <c r="I103" s="105">
        <f t="shared" si="42"/>
        <v>0</v>
      </c>
      <c r="J103" s="105">
        <f t="shared" si="37"/>
        <v>0</v>
      </c>
      <c r="K103" s="132">
        <f t="shared" si="23"/>
        <v>0</v>
      </c>
      <c r="L103" s="133">
        <f t="shared" si="24"/>
        <v>0</v>
      </c>
      <c r="M103" s="132">
        <f>IF(SUM(K$28:K103)&gt;0,MIN(O102*(1+B$9)^(1/12),G$25-G103+K103),0)</f>
        <v>0</v>
      </c>
      <c r="N103" s="132">
        <f t="shared" si="38"/>
        <v>0</v>
      </c>
      <c r="O103" s="133">
        <f t="shared" si="39"/>
        <v>0</v>
      </c>
      <c r="P103" s="103">
        <f>SUM(N$27:N103)</f>
        <v>0</v>
      </c>
      <c r="Q103" s="103">
        <f t="shared" si="49"/>
        <v>0</v>
      </c>
      <c r="R103" s="103">
        <f t="shared" si="43"/>
        <v>0</v>
      </c>
      <c r="S103" s="103">
        <f t="shared" si="44"/>
        <v>0</v>
      </c>
      <c r="T103" s="103">
        <f t="shared" si="45"/>
        <v>0</v>
      </c>
      <c r="U103" s="96" t="s">
        <v>67</v>
      </c>
      <c r="V103" s="96" t="str">
        <f t="shared" si="40"/>
        <v>-</v>
      </c>
      <c r="W103" s="96" t="str">
        <f t="shared" si="46"/>
        <v>-</v>
      </c>
      <c r="X103" s="96" t="str">
        <f t="shared" si="47"/>
        <v>-</v>
      </c>
      <c r="Y103" s="107" t="str">
        <f t="shared" si="41"/>
        <v/>
      </c>
      <c r="Z103" s="71"/>
    </row>
    <row r="104" spans="1:26" x14ac:dyDescent="0.2">
      <c r="A104" s="108">
        <v>77</v>
      </c>
      <c r="B104" s="132">
        <f t="shared" si="22"/>
        <v>0</v>
      </c>
      <c r="C104" s="104">
        <f t="shared" si="48"/>
        <v>0</v>
      </c>
      <c r="D104" s="132">
        <f t="shared" si="33"/>
        <v>0</v>
      </c>
      <c r="E104" s="132">
        <f t="shared" si="34"/>
        <v>0</v>
      </c>
      <c r="F104" s="132">
        <f t="shared" si="35"/>
        <v>0</v>
      </c>
      <c r="G104" s="114">
        <f>IF(SUM(K$27:K103)&gt;0,0,IF(Y104&lt;&gt;"-",$B$3,0))</f>
        <v>0</v>
      </c>
      <c r="H104" s="114">
        <f t="shared" si="36"/>
        <v>0</v>
      </c>
      <c r="I104" s="105">
        <f t="shared" si="42"/>
        <v>0</v>
      </c>
      <c r="J104" s="105">
        <f t="shared" si="37"/>
        <v>0</v>
      </c>
      <c r="K104" s="132">
        <f t="shared" si="23"/>
        <v>0</v>
      </c>
      <c r="L104" s="133">
        <f t="shared" si="24"/>
        <v>0</v>
      </c>
      <c r="M104" s="132">
        <f>IF(SUM(K$28:K104)&gt;0,MIN(O103*(1+B$9)^(1/12),G$25-G104+K104),0)</f>
        <v>0</v>
      </c>
      <c r="N104" s="132">
        <f t="shared" si="38"/>
        <v>0</v>
      </c>
      <c r="O104" s="133">
        <f t="shared" si="39"/>
        <v>0</v>
      </c>
      <c r="P104" s="103">
        <f>SUM(N$27:N104)</f>
        <v>0</v>
      </c>
      <c r="Q104" s="103">
        <f t="shared" si="49"/>
        <v>0</v>
      </c>
      <c r="R104" s="103">
        <f t="shared" si="43"/>
        <v>0</v>
      </c>
      <c r="S104" s="103">
        <f t="shared" si="44"/>
        <v>0</v>
      </c>
      <c r="T104" s="103">
        <f t="shared" si="45"/>
        <v>0</v>
      </c>
      <c r="U104" s="96" t="s">
        <v>67</v>
      </c>
      <c r="V104" s="96" t="str">
        <f t="shared" si="40"/>
        <v>-</v>
      </c>
      <c r="W104" s="96" t="str">
        <f t="shared" si="46"/>
        <v>-</v>
      </c>
      <c r="X104" s="96" t="str">
        <f t="shared" si="47"/>
        <v>-</v>
      </c>
      <c r="Y104" s="107" t="str">
        <f t="shared" si="41"/>
        <v/>
      </c>
      <c r="Z104" s="71"/>
    </row>
    <row r="105" spans="1:26" x14ac:dyDescent="0.2">
      <c r="A105" s="108">
        <v>78</v>
      </c>
      <c r="B105" s="132">
        <f t="shared" si="22"/>
        <v>0</v>
      </c>
      <c r="C105" s="104">
        <f t="shared" si="48"/>
        <v>0</v>
      </c>
      <c r="D105" s="132">
        <f t="shared" si="33"/>
        <v>0</v>
      </c>
      <c r="E105" s="132">
        <f t="shared" si="34"/>
        <v>0</v>
      </c>
      <c r="F105" s="132">
        <f t="shared" si="35"/>
        <v>0</v>
      </c>
      <c r="G105" s="114">
        <f>IF(SUM(K$27:K104)&gt;0,0,IF(Y105&lt;&gt;"-",$B$3,0))</f>
        <v>0</v>
      </c>
      <c r="H105" s="114">
        <f t="shared" si="36"/>
        <v>0</v>
      </c>
      <c r="I105" s="105">
        <f t="shared" si="42"/>
        <v>0</v>
      </c>
      <c r="J105" s="105">
        <f t="shared" si="37"/>
        <v>0</v>
      </c>
      <c r="K105" s="132">
        <f t="shared" si="23"/>
        <v>0</v>
      </c>
      <c r="L105" s="133">
        <f t="shared" si="24"/>
        <v>0</v>
      </c>
      <c r="M105" s="132">
        <f>IF(SUM(K$28:K105)&gt;0,MIN(O104*(1+B$9)^(1/12),G$25-G105+K105),0)</f>
        <v>0</v>
      </c>
      <c r="N105" s="132">
        <f t="shared" si="38"/>
        <v>0</v>
      </c>
      <c r="O105" s="133">
        <f t="shared" si="39"/>
        <v>0</v>
      </c>
      <c r="P105" s="103">
        <f>SUM(N$27:N105)</f>
        <v>0</v>
      </c>
      <c r="Q105" s="103">
        <f t="shared" si="49"/>
        <v>0</v>
      </c>
      <c r="R105" s="103">
        <f t="shared" si="43"/>
        <v>0</v>
      </c>
      <c r="S105" s="103">
        <f t="shared" si="44"/>
        <v>0</v>
      </c>
      <c r="T105" s="103">
        <f t="shared" si="45"/>
        <v>0</v>
      </c>
      <c r="U105" s="96" t="s">
        <v>67</v>
      </c>
      <c r="V105" s="96" t="str">
        <f t="shared" si="40"/>
        <v>q</v>
      </c>
      <c r="W105" s="96" t="str">
        <f t="shared" si="46"/>
        <v>s</v>
      </c>
      <c r="X105" s="96" t="str">
        <f t="shared" si="47"/>
        <v>-</v>
      </c>
      <c r="Y105" s="107" t="str">
        <f t="shared" si="41"/>
        <v/>
      </c>
      <c r="Z105" s="71"/>
    </row>
    <row r="106" spans="1:26" x14ac:dyDescent="0.2">
      <c r="A106" s="108">
        <v>79</v>
      </c>
      <c r="B106" s="132">
        <f t="shared" si="22"/>
        <v>0</v>
      </c>
      <c r="C106" s="104">
        <f t="shared" si="48"/>
        <v>0</v>
      </c>
      <c r="D106" s="132">
        <f t="shared" si="33"/>
        <v>0</v>
      </c>
      <c r="E106" s="132">
        <f t="shared" si="34"/>
        <v>0</v>
      </c>
      <c r="F106" s="132">
        <f t="shared" si="35"/>
        <v>0</v>
      </c>
      <c r="G106" s="114">
        <f>IF(SUM(K$27:K105)&gt;0,0,IF(Y106&lt;&gt;"-",$B$3,0))</f>
        <v>0</v>
      </c>
      <c r="H106" s="114">
        <f t="shared" si="36"/>
        <v>0</v>
      </c>
      <c r="I106" s="105">
        <f t="shared" si="42"/>
        <v>0</v>
      </c>
      <c r="J106" s="105">
        <f t="shared" si="37"/>
        <v>0</v>
      </c>
      <c r="K106" s="132">
        <f t="shared" si="23"/>
        <v>0</v>
      </c>
      <c r="L106" s="133">
        <f t="shared" si="24"/>
        <v>0</v>
      </c>
      <c r="M106" s="132">
        <f>IF(SUM(K$28:K106)&gt;0,MIN(O105*(1+B$9)^(1/12),G$25-G106+K106),0)</f>
        <v>0</v>
      </c>
      <c r="N106" s="132">
        <f t="shared" si="38"/>
        <v>0</v>
      </c>
      <c r="O106" s="133">
        <f t="shared" si="39"/>
        <v>0</v>
      </c>
      <c r="P106" s="103">
        <f>SUM(N$27:N106)</f>
        <v>0</v>
      </c>
      <c r="Q106" s="103">
        <f t="shared" si="49"/>
        <v>0</v>
      </c>
      <c r="R106" s="103">
        <f t="shared" si="43"/>
        <v>0</v>
      </c>
      <c r="S106" s="103">
        <f t="shared" si="44"/>
        <v>0</v>
      </c>
      <c r="T106" s="103">
        <f t="shared" si="45"/>
        <v>0</v>
      </c>
      <c r="U106" s="96" t="s">
        <v>67</v>
      </c>
      <c r="V106" s="96" t="str">
        <f t="shared" si="40"/>
        <v>-</v>
      </c>
      <c r="W106" s="96" t="str">
        <f t="shared" si="46"/>
        <v>-</v>
      </c>
      <c r="X106" s="96" t="str">
        <f t="shared" si="47"/>
        <v>-</v>
      </c>
      <c r="Y106" s="107" t="str">
        <f t="shared" si="41"/>
        <v/>
      </c>
      <c r="Z106" s="71"/>
    </row>
    <row r="107" spans="1:26" x14ac:dyDescent="0.2">
      <c r="A107" s="108">
        <v>80</v>
      </c>
      <c r="B107" s="132">
        <f t="shared" si="22"/>
        <v>0</v>
      </c>
      <c r="C107" s="104">
        <f t="shared" si="48"/>
        <v>0</v>
      </c>
      <c r="D107" s="132">
        <f t="shared" si="33"/>
        <v>0</v>
      </c>
      <c r="E107" s="132">
        <f t="shared" si="34"/>
        <v>0</v>
      </c>
      <c r="F107" s="132">
        <f t="shared" si="35"/>
        <v>0</v>
      </c>
      <c r="G107" s="114">
        <f>IF(SUM(K$27:K106)&gt;0,0,IF(Y107&lt;&gt;"-",$B$3,0))</f>
        <v>0</v>
      </c>
      <c r="H107" s="114">
        <f t="shared" si="36"/>
        <v>0</v>
      </c>
      <c r="I107" s="105">
        <f t="shared" si="42"/>
        <v>0</v>
      </c>
      <c r="J107" s="105">
        <f t="shared" si="37"/>
        <v>0</v>
      </c>
      <c r="K107" s="132">
        <f t="shared" si="23"/>
        <v>0</v>
      </c>
      <c r="L107" s="133">
        <f t="shared" si="24"/>
        <v>0</v>
      </c>
      <c r="M107" s="132">
        <f>IF(SUM(K$28:K107)&gt;0,MIN(O106*(1+B$9)^(1/12),G$25-G107+K107),0)</f>
        <v>0</v>
      </c>
      <c r="N107" s="132">
        <f t="shared" si="38"/>
        <v>0</v>
      </c>
      <c r="O107" s="133">
        <f t="shared" si="39"/>
        <v>0</v>
      </c>
      <c r="P107" s="103">
        <f>SUM(N$27:N107)</f>
        <v>0</v>
      </c>
      <c r="Q107" s="103">
        <f t="shared" si="49"/>
        <v>0</v>
      </c>
      <c r="R107" s="103">
        <f t="shared" si="43"/>
        <v>0</v>
      </c>
      <c r="S107" s="103">
        <f t="shared" si="44"/>
        <v>0</v>
      </c>
      <c r="T107" s="103">
        <f t="shared" si="45"/>
        <v>0</v>
      </c>
      <c r="U107" s="96" t="s">
        <v>67</v>
      </c>
      <c r="V107" s="96" t="str">
        <f t="shared" si="40"/>
        <v>-</v>
      </c>
      <c r="W107" s="96" t="str">
        <f t="shared" si="46"/>
        <v>-</v>
      </c>
      <c r="X107" s="96" t="str">
        <f t="shared" si="47"/>
        <v>-</v>
      </c>
      <c r="Y107" s="107" t="str">
        <f t="shared" si="41"/>
        <v/>
      </c>
      <c r="Z107" s="71"/>
    </row>
    <row r="108" spans="1:26" x14ac:dyDescent="0.2">
      <c r="A108" s="108">
        <v>81</v>
      </c>
      <c r="B108" s="132">
        <f t="shared" si="22"/>
        <v>0</v>
      </c>
      <c r="C108" s="104">
        <f t="shared" si="48"/>
        <v>0</v>
      </c>
      <c r="D108" s="132">
        <f t="shared" si="33"/>
        <v>0</v>
      </c>
      <c r="E108" s="132">
        <f t="shared" si="34"/>
        <v>0</v>
      </c>
      <c r="F108" s="132">
        <f t="shared" si="35"/>
        <v>0</v>
      </c>
      <c r="G108" s="114">
        <f>IF(SUM(K$27:K107)&gt;0,0,IF(Y108&lt;&gt;"-",$B$3,0))</f>
        <v>0</v>
      </c>
      <c r="H108" s="114">
        <f t="shared" si="36"/>
        <v>0</v>
      </c>
      <c r="I108" s="105">
        <f t="shared" si="42"/>
        <v>0</v>
      </c>
      <c r="J108" s="105">
        <f t="shared" si="37"/>
        <v>0</v>
      </c>
      <c r="K108" s="132">
        <f t="shared" si="23"/>
        <v>0</v>
      </c>
      <c r="L108" s="133">
        <f t="shared" si="24"/>
        <v>0</v>
      </c>
      <c r="M108" s="132">
        <f>IF(SUM(K$28:K108)&gt;0,MIN(O107*(1+B$9)^(1/12),G$25-G108+K108),0)</f>
        <v>0</v>
      </c>
      <c r="N108" s="132">
        <f t="shared" si="38"/>
        <v>0</v>
      </c>
      <c r="O108" s="133">
        <f t="shared" si="39"/>
        <v>0</v>
      </c>
      <c r="P108" s="103">
        <f>SUM(N$27:N108)</f>
        <v>0</v>
      </c>
      <c r="Q108" s="103">
        <f t="shared" si="49"/>
        <v>0</v>
      </c>
      <c r="R108" s="103">
        <f t="shared" si="43"/>
        <v>0</v>
      </c>
      <c r="S108" s="103">
        <f t="shared" si="44"/>
        <v>0</v>
      </c>
      <c r="T108" s="103">
        <f t="shared" si="45"/>
        <v>0</v>
      </c>
      <c r="U108" s="96" t="s">
        <v>67</v>
      </c>
      <c r="V108" s="96" t="str">
        <f t="shared" si="40"/>
        <v>q</v>
      </c>
      <c r="W108" s="96" t="str">
        <f t="shared" si="46"/>
        <v>-</v>
      </c>
      <c r="X108" s="96" t="str">
        <f t="shared" si="47"/>
        <v>-</v>
      </c>
      <c r="Y108" s="107" t="str">
        <f t="shared" si="41"/>
        <v/>
      </c>
      <c r="Z108" s="71"/>
    </row>
    <row r="109" spans="1:26" x14ac:dyDescent="0.2">
      <c r="A109" s="108">
        <v>82</v>
      </c>
      <c r="B109" s="132">
        <f t="shared" si="22"/>
        <v>0</v>
      </c>
      <c r="C109" s="104">
        <f t="shared" si="48"/>
        <v>0</v>
      </c>
      <c r="D109" s="132">
        <f t="shared" si="33"/>
        <v>0</v>
      </c>
      <c r="E109" s="132">
        <f t="shared" si="34"/>
        <v>0</v>
      </c>
      <c r="F109" s="132">
        <f t="shared" si="35"/>
        <v>0</v>
      </c>
      <c r="G109" s="114">
        <f>IF(SUM(K$27:K108)&gt;0,0,IF(Y109&lt;&gt;"-",$B$3,0))</f>
        <v>0</v>
      </c>
      <c r="H109" s="114">
        <f t="shared" si="36"/>
        <v>0</v>
      </c>
      <c r="I109" s="105">
        <f t="shared" si="42"/>
        <v>0</v>
      </c>
      <c r="J109" s="105">
        <f t="shared" si="37"/>
        <v>0</v>
      </c>
      <c r="K109" s="132">
        <f t="shared" si="23"/>
        <v>0</v>
      </c>
      <c r="L109" s="133">
        <f t="shared" si="24"/>
        <v>0</v>
      </c>
      <c r="M109" s="132">
        <f>IF(SUM(K$28:K109)&gt;0,MIN(O108*(1+B$9)^(1/12),G$25-G109+K109),0)</f>
        <v>0</v>
      </c>
      <c r="N109" s="132">
        <f t="shared" si="38"/>
        <v>0</v>
      </c>
      <c r="O109" s="133">
        <f t="shared" si="39"/>
        <v>0</v>
      </c>
      <c r="P109" s="103">
        <f>SUM(N$27:N109)</f>
        <v>0</v>
      </c>
      <c r="Q109" s="103">
        <f t="shared" si="49"/>
        <v>0</v>
      </c>
      <c r="R109" s="103">
        <f t="shared" si="43"/>
        <v>0</v>
      </c>
      <c r="S109" s="103">
        <f t="shared" si="44"/>
        <v>0</v>
      </c>
      <c r="T109" s="103">
        <f t="shared" si="45"/>
        <v>0</v>
      </c>
      <c r="U109" s="96" t="s">
        <v>67</v>
      </c>
      <c r="V109" s="96" t="str">
        <f t="shared" si="40"/>
        <v>-</v>
      </c>
      <c r="W109" s="96" t="str">
        <f t="shared" si="46"/>
        <v>-</v>
      </c>
      <c r="X109" s="96" t="str">
        <f t="shared" si="47"/>
        <v>-</v>
      </c>
      <c r="Y109" s="107" t="str">
        <f t="shared" si="41"/>
        <v/>
      </c>
      <c r="Z109" s="71"/>
    </row>
    <row r="110" spans="1:26" x14ac:dyDescent="0.2">
      <c r="A110" s="108">
        <v>83</v>
      </c>
      <c r="B110" s="132">
        <f t="shared" si="22"/>
        <v>0</v>
      </c>
      <c r="C110" s="104">
        <f t="shared" si="48"/>
        <v>0</v>
      </c>
      <c r="D110" s="132">
        <f t="shared" si="33"/>
        <v>0</v>
      </c>
      <c r="E110" s="132">
        <f t="shared" si="34"/>
        <v>0</v>
      </c>
      <c r="F110" s="132">
        <f t="shared" si="35"/>
        <v>0</v>
      </c>
      <c r="G110" s="114">
        <f>IF(SUM(K$27:K109)&gt;0,0,IF(Y110&lt;&gt;"-",$B$3,0))</f>
        <v>0</v>
      </c>
      <c r="H110" s="114">
        <f t="shared" si="36"/>
        <v>0</v>
      </c>
      <c r="I110" s="105">
        <f t="shared" si="42"/>
        <v>0</v>
      </c>
      <c r="J110" s="105">
        <f t="shared" si="37"/>
        <v>0</v>
      </c>
      <c r="K110" s="132">
        <f t="shared" si="23"/>
        <v>0</v>
      </c>
      <c r="L110" s="133">
        <f t="shared" si="24"/>
        <v>0</v>
      </c>
      <c r="M110" s="132">
        <f>IF(SUM(K$28:K110)&gt;0,MIN(O109*(1+B$9)^(1/12),G$25-G110+K110),0)</f>
        <v>0</v>
      </c>
      <c r="N110" s="132">
        <f t="shared" si="38"/>
        <v>0</v>
      </c>
      <c r="O110" s="133">
        <f t="shared" si="39"/>
        <v>0</v>
      </c>
      <c r="P110" s="103">
        <f>SUM(N$27:N110)</f>
        <v>0</v>
      </c>
      <c r="Q110" s="103">
        <f t="shared" si="49"/>
        <v>0</v>
      </c>
      <c r="R110" s="103">
        <f t="shared" si="43"/>
        <v>0</v>
      </c>
      <c r="S110" s="103">
        <f t="shared" si="44"/>
        <v>0</v>
      </c>
      <c r="T110" s="103">
        <f t="shared" si="45"/>
        <v>0</v>
      </c>
      <c r="U110" s="96" t="s">
        <v>67</v>
      </c>
      <c r="V110" s="96" t="str">
        <f t="shared" si="40"/>
        <v>-</v>
      </c>
      <c r="W110" s="96" t="str">
        <f t="shared" si="46"/>
        <v>-</v>
      </c>
      <c r="X110" s="96" t="str">
        <f t="shared" si="47"/>
        <v>-</v>
      </c>
      <c r="Y110" s="107" t="str">
        <f t="shared" si="41"/>
        <v/>
      </c>
      <c r="Z110" s="71"/>
    </row>
    <row r="111" spans="1:26" x14ac:dyDescent="0.2">
      <c r="A111" s="110">
        <v>84</v>
      </c>
      <c r="B111" s="111">
        <f t="shared" si="22"/>
        <v>0</v>
      </c>
      <c r="C111" s="111">
        <f t="shared" si="48"/>
        <v>0</v>
      </c>
      <c r="D111" s="111">
        <f t="shared" si="33"/>
        <v>0</v>
      </c>
      <c r="E111" s="111">
        <f t="shared" si="34"/>
        <v>0</v>
      </c>
      <c r="F111" s="111">
        <f t="shared" si="35"/>
        <v>0</v>
      </c>
      <c r="G111" s="112">
        <f>IF(SUM(K$27:K110)&gt;0,0,IF(Y111&lt;&gt;"-",$B$3,0))</f>
        <v>0</v>
      </c>
      <c r="H111" s="112">
        <f t="shared" si="36"/>
        <v>0</v>
      </c>
      <c r="I111" s="112">
        <f t="shared" si="42"/>
        <v>0</v>
      </c>
      <c r="J111" s="112">
        <f t="shared" si="37"/>
        <v>0</v>
      </c>
      <c r="K111" s="111">
        <f t="shared" si="23"/>
        <v>0</v>
      </c>
      <c r="L111" s="113">
        <f t="shared" si="24"/>
        <v>0</v>
      </c>
      <c r="M111" s="111">
        <f>IF(SUM(K$28:K111)&gt;0,MIN(O110*(1+B$9)^(1/12),G$25-G111+K111),0)</f>
        <v>0</v>
      </c>
      <c r="N111" s="111">
        <f t="shared" si="38"/>
        <v>0</v>
      </c>
      <c r="O111" s="113">
        <f t="shared" si="39"/>
        <v>0</v>
      </c>
      <c r="P111" s="111">
        <f>SUM(N$27:N111)</f>
        <v>0</v>
      </c>
      <c r="Q111" s="111">
        <f t="shared" si="49"/>
        <v>0</v>
      </c>
      <c r="R111" s="111">
        <f t="shared" si="43"/>
        <v>0</v>
      </c>
      <c r="S111" s="111">
        <f t="shared" si="44"/>
        <v>0</v>
      </c>
      <c r="T111" s="111">
        <f t="shared" si="45"/>
        <v>0</v>
      </c>
      <c r="U111" s="101" t="s">
        <v>67</v>
      </c>
      <c r="V111" s="101" t="str">
        <f t="shared" si="40"/>
        <v>q</v>
      </c>
      <c r="W111" s="101" t="str">
        <f t="shared" si="46"/>
        <v>s</v>
      </c>
      <c r="X111" s="101" t="str">
        <f t="shared" si="47"/>
        <v>a</v>
      </c>
      <c r="Y111" s="107" t="str">
        <f t="shared" si="41"/>
        <v/>
      </c>
      <c r="Z111" s="71"/>
    </row>
    <row r="112" spans="1:26" x14ac:dyDescent="0.2">
      <c r="A112" s="108">
        <v>85</v>
      </c>
      <c r="B112" s="132">
        <f t="shared" si="22"/>
        <v>0</v>
      </c>
      <c r="C112" s="104">
        <f t="shared" si="48"/>
        <v>0</v>
      </c>
      <c r="D112" s="132">
        <f t="shared" si="33"/>
        <v>0</v>
      </c>
      <c r="E112" s="132">
        <f t="shared" si="34"/>
        <v>0</v>
      </c>
      <c r="F112" s="132">
        <f t="shared" si="35"/>
        <v>0</v>
      </c>
      <c r="G112" s="114">
        <f>IF(SUM(K$27:K111)&gt;0,0,IF(Y112&lt;&gt;"-",$B$3,0))</f>
        <v>0</v>
      </c>
      <c r="H112" s="114">
        <f t="shared" si="36"/>
        <v>0</v>
      </c>
      <c r="I112" s="105">
        <f t="shared" si="42"/>
        <v>0</v>
      </c>
      <c r="J112" s="105">
        <f t="shared" si="37"/>
        <v>0</v>
      </c>
      <c r="K112" s="132">
        <f t="shared" si="23"/>
        <v>0</v>
      </c>
      <c r="L112" s="133">
        <f t="shared" si="24"/>
        <v>0</v>
      </c>
      <c r="M112" s="132">
        <f>IF(SUM(K$28:K112)&gt;0,MIN(O111*(1+B$9)^(1/12),G$25-G112+K112),0)</f>
        <v>0</v>
      </c>
      <c r="N112" s="132">
        <f t="shared" si="38"/>
        <v>0</v>
      </c>
      <c r="O112" s="133">
        <f t="shared" si="39"/>
        <v>0</v>
      </c>
      <c r="P112" s="103">
        <f>SUM(N$27:N112)</f>
        <v>0</v>
      </c>
      <c r="Q112" s="103">
        <f t="shared" si="49"/>
        <v>0</v>
      </c>
      <c r="R112" s="103">
        <f t="shared" si="43"/>
        <v>0</v>
      </c>
      <c r="S112" s="103">
        <f t="shared" si="44"/>
        <v>0</v>
      </c>
      <c r="T112" s="103">
        <f t="shared" si="45"/>
        <v>0</v>
      </c>
      <c r="U112" s="96" t="s">
        <v>67</v>
      </c>
      <c r="V112" s="96" t="str">
        <f t="shared" si="40"/>
        <v>-</v>
      </c>
      <c r="W112" s="96" t="str">
        <f t="shared" si="46"/>
        <v>-</v>
      </c>
      <c r="X112" s="96" t="str">
        <f t="shared" si="47"/>
        <v>-</v>
      </c>
      <c r="Y112" s="107" t="str">
        <f t="shared" si="41"/>
        <v/>
      </c>
      <c r="Z112" s="71"/>
    </row>
    <row r="113" spans="1:26" x14ac:dyDescent="0.2">
      <c r="A113" s="108">
        <v>86</v>
      </c>
      <c r="B113" s="132">
        <f t="shared" si="22"/>
        <v>0</v>
      </c>
      <c r="C113" s="104">
        <f t="shared" si="48"/>
        <v>0</v>
      </c>
      <c r="D113" s="132">
        <f t="shared" si="33"/>
        <v>0</v>
      </c>
      <c r="E113" s="132">
        <f t="shared" si="34"/>
        <v>0</v>
      </c>
      <c r="F113" s="132">
        <f t="shared" si="35"/>
        <v>0</v>
      </c>
      <c r="G113" s="114">
        <f>IF(SUM(K$27:K112)&gt;0,0,IF(Y113&lt;&gt;"-",$B$3,0))</f>
        <v>0</v>
      </c>
      <c r="H113" s="114">
        <f t="shared" si="36"/>
        <v>0</v>
      </c>
      <c r="I113" s="105">
        <f t="shared" si="42"/>
        <v>0</v>
      </c>
      <c r="J113" s="105">
        <f t="shared" si="37"/>
        <v>0</v>
      </c>
      <c r="K113" s="132">
        <f t="shared" si="23"/>
        <v>0</v>
      </c>
      <c r="L113" s="133">
        <f t="shared" si="24"/>
        <v>0</v>
      </c>
      <c r="M113" s="132">
        <f>IF(SUM(K$28:K113)&gt;0,MIN(O112*(1+B$9)^(1/12),G$25-G113+K113),0)</f>
        <v>0</v>
      </c>
      <c r="N113" s="132">
        <f t="shared" si="38"/>
        <v>0</v>
      </c>
      <c r="O113" s="133">
        <f t="shared" si="39"/>
        <v>0</v>
      </c>
      <c r="P113" s="103">
        <f>SUM(N$27:N113)</f>
        <v>0</v>
      </c>
      <c r="Q113" s="103">
        <f t="shared" si="49"/>
        <v>0</v>
      </c>
      <c r="R113" s="103">
        <f t="shared" si="43"/>
        <v>0</v>
      </c>
      <c r="S113" s="103">
        <f t="shared" si="44"/>
        <v>0</v>
      </c>
      <c r="T113" s="103">
        <f t="shared" si="45"/>
        <v>0</v>
      </c>
      <c r="U113" s="96" t="s">
        <v>67</v>
      </c>
      <c r="V113" s="96" t="str">
        <f t="shared" si="40"/>
        <v>-</v>
      </c>
      <c r="W113" s="96" t="str">
        <f t="shared" si="46"/>
        <v>-</v>
      </c>
      <c r="X113" s="96" t="str">
        <f t="shared" si="47"/>
        <v>-</v>
      </c>
      <c r="Y113" s="107" t="str">
        <f t="shared" si="41"/>
        <v/>
      </c>
      <c r="Z113" s="71"/>
    </row>
    <row r="114" spans="1:26" x14ac:dyDescent="0.2">
      <c r="A114" s="108">
        <v>87</v>
      </c>
      <c r="B114" s="132">
        <f t="shared" si="22"/>
        <v>0</v>
      </c>
      <c r="C114" s="104">
        <f t="shared" si="48"/>
        <v>0</v>
      </c>
      <c r="D114" s="132">
        <f t="shared" si="33"/>
        <v>0</v>
      </c>
      <c r="E114" s="132">
        <f t="shared" si="34"/>
        <v>0</v>
      </c>
      <c r="F114" s="132">
        <f t="shared" si="35"/>
        <v>0</v>
      </c>
      <c r="G114" s="114">
        <f>IF(SUM(K$27:K113)&gt;0,0,IF(Y114&lt;&gt;"-",$B$3,0))</f>
        <v>0</v>
      </c>
      <c r="H114" s="114">
        <f t="shared" si="36"/>
        <v>0</v>
      </c>
      <c r="I114" s="105">
        <f t="shared" si="42"/>
        <v>0</v>
      </c>
      <c r="J114" s="105">
        <f t="shared" si="37"/>
        <v>0</v>
      </c>
      <c r="K114" s="132">
        <f t="shared" si="23"/>
        <v>0</v>
      </c>
      <c r="L114" s="133">
        <f t="shared" si="24"/>
        <v>0</v>
      </c>
      <c r="M114" s="132">
        <f>IF(SUM(K$28:K114)&gt;0,MIN(O113*(1+B$9)^(1/12),G$25-G114+K114),0)</f>
        <v>0</v>
      </c>
      <c r="N114" s="132">
        <f t="shared" si="38"/>
        <v>0</v>
      </c>
      <c r="O114" s="133">
        <f t="shared" si="39"/>
        <v>0</v>
      </c>
      <c r="P114" s="103">
        <f>SUM(N$27:N114)</f>
        <v>0</v>
      </c>
      <c r="Q114" s="103">
        <f t="shared" si="49"/>
        <v>0</v>
      </c>
      <c r="R114" s="103">
        <f t="shared" si="43"/>
        <v>0</v>
      </c>
      <c r="S114" s="103">
        <f t="shared" si="44"/>
        <v>0</v>
      </c>
      <c r="T114" s="103">
        <f t="shared" si="45"/>
        <v>0</v>
      </c>
      <c r="U114" s="96" t="s">
        <v>67</v>
      </c>
      <c r="V114" s="96" t="str">
        <f t="shared" si="40"/>
        <v>q</v>
      </c>
      <c r="W114" s="96" t="str">
        <f t="shared" si="46"/>
        <v>-</v>
      </c>
      <c r="X114" s="96" t="str">
        <f t="shared" si="47"/>
        <v>-</v>
      </c>
      <c r="Y114" s="107" t="str">
        <f t="shared" si="41"/>
        <v/>
      </c>
      <c r="Z114" s="71"/>
    </row>
    <row r="115" spans="1:26" x14ac:dyDescent="0.2">
      <c r="A115" s="108">
        <v>88</v>
      </c>
      <c r="B115" s="132">
        <f t="shared" si="22"/>
        <v>0</v>
      </c>
      <c r="C115" s="104">
        <f t="shared" si="48"/>
        <v>0</v>
      </c>
      <c r="D115" s="132">
        <f t="shared" si="33"/>
        <v>0</v>
      </c>
      <c r="E115" s="132">
        <f t="shared" si="34"/>
        <v>0</v>
      </c>
      <c r="F115" s="132">
        <f t="shared" si="35"/>
        <v>0</v>
      </c>
      <c r="G115" s="114">
        <f>IF(SUM(K$27:K114)&gt;0,0,IF(Y115&lt;&gt;"-",$B$3,0))</f>
        <v>0</v>
      </c>
      <c r="H115" s="114">
        <f t="shared" si="36"/>
        <v>0</v>
      </c>
      <c r="I115" s="105">
        <f t="shared" si="42"/>
        <v>0</v>
      </c>
      <c r="J115" s="105">
        <f t="shared" si="37"/>
        <v>0</v>
      </c>
      <c r="K115" s="132">
        <f t="shared" si="23"/>
        <v>0</v>
      </c>
      <c r="L115" s="133">
        <f t="shared" si="24"/>
        <v>0</v>
      </c>
      <c r="M115" s="132">
        <f>IF(SUM(K$28:K115)&gt;0,MIN(O114*(1+B$9)^(1/12),G$25-G115+K115),0)</f>
        <v>0</v>
      </c>
      <c r="N115" s="132">
        <f t="shared" si="38"/>
        <v>0</v>
      </c>
      <c r="O115" s="133">
        <f t="shared" si="39"/>
        <v>0</v>
      </c>
      <c r="P115" s="103">
        <f>SUM(N$27:N115)</f>
        <v>0</v>
      </c>
      <c r="Q115" s="103">
        <f t="shared" si="49"/>
        <v>0</v>
      </c>
      <c r="R115" s="103">
        <f t="shared" si="43"/>
        <v>0</v>
      </c>
      <c r="S115" s="103">
        <f t="shared" si="44"/>
        <v>0</v>
      </c>
      <c r="T115" s="103">
        <f t="shared" si="45"/>
        <v>0</v>
      </c>
      <c r="U115" s="96" t="s">
        <v>67</v>
      </c>
      <c r="V115" s="96" t="str">
        <f t="shared" si="40"/>
        <v>-</v>
      </c>
      <c r="W115" s="96" t="str">
        <f t="shared" si="46"/>
        <v>-</v>
      </c>
      <c r="X115" s="96" t="str">
        <f t="shared" si="47"/>
        <v>-</v>
      </c>
      <c r="Y115" s="107" t="str">
        <f t="shared" si="41"/>
        <v/>
      </c>
      <c r="Z115" s="71"/>
    </row>
    <row r="116" spans="1:26" x14ac:dyDescent="0.2">
      <c r="A116" s="108">
        <v>89</v>
      </c>
      <c r="B116" s="132">
        <f t="shared" si="22"/>
        <v>0</v>
      </c>
      <c r="C116" s="104">
        <f t="shared" si="48"/>
        <v>0</v>
      </c>
      <c r="D116" s="132">
        <f t="shared" si="33"/>
        <v>0</v>
      </c>
      <c r="E116" s="132">
        <f t="shared" si="34"/>
        <v>0</v>
      </c>
      <c r="F116" s="132">
        <f t="shared" si="35"/>
        <v>0</v>
      </c>
      <c r="G116" s="114">
        <f>IF(SUM(K$27:K115)&gt;0,0,IF(Y116&lt;&gt;"-",$B$3,0))</f>
        <v>0</v>
      </c>
      <c r="H116" s="114">
        <f t="shared" si="36"/>
        <v>0</v>
      </c>
      <c r="I116" s="105">
        <f t="shared" si="42"/>
        <v>0</v>
      </c>
      <c r="J116" s="105">
        <f t="shared" si="37"/>
        <v>0</v>
      </c>
      <c r="K116" s="132">
        <f t="shared" si="23"/>
        <v>0</v>
      </c>
      <c r="L116" s="133">
        <f t="shared" si="24"/>
        <v>0</v>
      </c>
      <c r="M116" s="132">
        <f>IF(SUM(K$28:K116)&gt;0,MIN(O115*(1+B$9)^(1/12),G$25-G116+K116),0)</f>
        <v>0</v>
      </c>
      <c r="N116" s="132">
        <f t="shared" si="38"/>
        <v>0</v>
      </c>
      <c r="O116" s="133">
        <f t="shared" si="39"/>
        <v>0</v>
      </c>
      <c r="P116" s="103">
        <f>SUM(N$27:N116)</f>
        <v>0</v>
      </c>
      <c r="Q116" s="103">
        <f t="shared" si="49"/>
        <v>0</v>
      </c>
      <c r="R116" s="103">
        <f t="shared" si="43"/>
        <v>0</v>
      </c>
      <c r="S116" s="103">
        <f t="shared" si="44"/>
        <v>0</v>
      </c>
      <c r="T116" s="103">
        <f t="shared" si="45"/>
        <v>0</v>
      </c>
      <c r="U116" s="96" t="s">
        <v>67</v>
      </c>
      <c r="V116" s="96" t="str">
        <f t="shared" si="40"/>
        <v>-</v>
      </c>
      <c r="W116" s="96" t="str">
        <f t="shared" si="46"/>
        <v>-</v>
      </c>
      <c r="X116" s="96" t="str">
        <f t="shared" si="47"/>
        <v>-</v>
      </c>
      <c r="Y116" s="107" t="str">
        <f t="shared" si="41"/>
        <v/>
      </c>
      <c r="Z116" s="71"/>
    </row>
    <row r="117" spans="1:26" x14ac:dyDescent="0.2">
      <c r="A117" s="108">
        <v>90</v>
      </c>
      <c r="B117" s="132">
        <f t="shared" si="22"/>
        <v>0</v>
      </c>
      <c r="C117" s="104">
        <f t="shared" si="48"/>
        <v>0</v>
      </c>
      <c r="D117" s="132">
        <f t="shared" si="33"/>
        <v>0</v>
      </c>
      <c r="E117" s="132">
        <f t="shared" si="34"/>
        <v>0</v>
      </c>
      <c r="F117" s="132">
        <f t="shared" si="35"/>
        <v>0</v>
      </c>
      <c r="G117" s="114">
        <f>IF(SUM(K$27:K116)&gt;0,0,IF(Y117&lt;&gt;"-",$B$3,0))</f>
        <v>0</v>
      </c>
      <c r="H117" s="114">
        <f t="shared" si="36"/>
        <v>0</v>
      </c>
      <c r="I117" s="105">
        <f t="shared" si="42"/>
        <v>0</v>
      </c>
      <c r="J117" s="105">
        <f t="shared" si="37"/>
        <v>0</v>
      </c>
      <c r="K117" s="132">
        <f t="shared" si="23"/>
        <v>0</v>
      </c>
      <c r="L117" s="133">
        <f t="shared" si="24"/>
        <v>0</v>
      </c>
      <c r="M117" s="132">
        <f>IF(SUM(K$28:K117)&gt;0,MIN(O116*(1+B$9)^(1/12),G$25-G117+K117),0)</f>
        <v>0</v>
      </c>
      <c r="N117" s="132">
        <f t="shared" si="38"/>
        <v>0</v>
      </c>
      <c r="O117" s="133">
        <f t="shared" si="39"/>
        <v>0</v>
      </c>
      <c r="P117" s="103">
        <f>SUM(N$27:N117)</f>
        <v>0</v>
      </c>
      <c r="Q117" s="103">
        <f t="shared" si="49"/>
        <v>0</v>
      </c>
      <c r="R117" s="103">
        <f t="shared" si="43"/>
        <v>0</v>
      </c>
      <c r="S117" s="103">
        <f t="shared" si="44"/>
        <v>0</v>
      </c>
      <c r="T117" s="103">
        <f t="shared" si="45"/>
        <v>0</v>
      </c>
      <c r="U117" s="96" t="s">
        <v>67</v>
      </c>
      <c r="V117" s="96" t="str">
        <f t="shared" si="40"/>
        <v>q</v>
      </c>
      <c r="W117" s="96" t="str">
        <f t="shared" si="46"/>
        <v>s</v>
      </c>
      <c r="X117" s="96" t="str">
        <f t="shared" si="47"/>
        <v>-</v>
      </c>
      <c r="Y117" s="107" t="str">
        <f t="shared" si="41"/>
        <v/>
      </c>
      <c r="Z117" s="71"/>
    </row>
    <row r="118" spans="1:26" x14ac:dyDescent="0.2">
      <c r="A118" s="108">
        <v>91</v>
      </c>
      <c r="B118" s="132">
        <f t="shared" si="22"/>
        <v>0</v>
      </c>
      <c r="C118" s="104">
        <f t="shared" si="48"/>
        <v>0</v>
      </c>
      <c r="D118" s="132">
        <f t="shared" si="33"/>
        <v>0</v>
      </c>
      <c r="E118" s="132">
        <f t="shared" si="34"/>
        <v>0</v>
      </c>
      <c r="F118" s="132">
        <f t="shared" si="35"/>
        <v>0</v>
      </c>
      <c r="G118" s="114">
        <f>IF(SUM(K$27:K117)&gt;0,0,IF(Y118&lt;&gt;"-",$B$3,0))</f>
        <v>0</v>
      </c>
      <c r="H118" s="114">
        <f t="shared" si="36"/>
        <v>0</v>
      </c>
      <c r="I118" s="105">
        <f t="shared" si="42"/>
        <v>0</v>
      </c>
      <c r="J118" s="105">
        <f t="shared" si="37"/>
        <v>0</v>
      </c>
      <c r="K118" s="132">
        <f t="shared" si="23"/>
        <v>0</v>
      </c>
      <c r="L118" s="133">
        <f t="shared" si="24"/>
        <v>0</v>
      </c>
      <c r="M118" s="132">
        <f>IF(SUM(K$28:K118)&gt;0,MIN(O117*(1+B$9)^(1/12),G$25-G118+K118),0)</f>
        <v>0</v>
      </c>
      <c r="N118" s="132">
        <f t="shared" si="38"/>
        <v>0</v>
      </c>
      <c r="O118" s="133">
        <f t="shared" si="39"/>
        <v>0</v>
      </c>
      <c r="P118" s="103">
        <f>SUM(N$27:N118)</f>
        <v>0</v>
      </c>
      <c r="Q118" s="103">
        <f t="shared" si="49"/>
        <v>0</v>
      </c>
      <c r="R118" s="103">
        <f t="shared" si="43"/>
        <v>0</v>
      </c>
      <c r="S118" s="103">
        <f t="shared" si="44"/>
        <v>0</v>
      </c>
      <c r="T118" s="103">
        <f t="shared" si="45"/>
        <v>0</v>
      </c>
      <c r="U118" s="96" t="s">
        <v>67</v>
      </c>
      <c r="V118" s="96" t="str">
        <f t="shared" si="40"/>
        <v>-</v>
      </c>
      <c r="W118" s="96" t="str">
        <f t="shared" si="46"/>
        <v>-</v>
      </c>
      <c r="X118" s="96" t="str">
        <f t="shared" si="47"/>
        <v>-</v>
      </c>
      <c r="Y118" s="107" t="str">
        <f t="shared" si="41"/>
        <v/>
      </c>
      <c r="Z118" s="71"/>
    </row>
    <row r="119" spans="1:26" x14ac:dyDescent="0.2">
      <c r="A119" s="108">
        <v>92</v>
      </c>
      <c r="B119" s="132">
        <f t="shared" si="22"/>
        <v>0</v>
      </c>
      <c r="C119" s="104">
        <f t="shared" si="48"/>
        <v>0</v>
      </c>
      <c r="D119" s="132">
        <f t="shared" si="33"/>
        <v>0</v>
      </c>
      <c r="E119" s="132">
        <f t="shared" si="34"/>
        <v>0</v>
      </c>
      <c r="F119" s="132">
        <f t="shared" si="35"/>
        <v>0</v>
      </c>
      <c r="G119" s="114">
        <f>IF(SUM(K$27:K118)&gt;0,0,IF(Y119&lt;&gt;"-",$B$3,0))</f>
        <v>0</v>
      </c>
      <c r="H119" s="114">
        <f t="shared" si="36"/>
        <v>0</v>
      </c>
      <c r="I119" s="105">
        <f t="shared" si="42"/>
        <v>0</v>
      </c>
      <c r="J119" s="105">
        <f t="shared" si="37"/>
        <v>0</v>
      </c>
      <c r="K119" s="132">
        <f t="shared" si="23"/>
        <v>0</v>
      </c>
      <c r="L119" s="133">
        <f t="shared" si="24"/>
        <v>0</v>
      </c>
      <c r="M119" s="132">
        <f>IF(SUM(K$28:K119)&gt;0,MIN(O118*(1+B$9)^(1/12),G$25-G119+K119),0)</f>
        <v>0</v>
      </c>
      <c r="N119" s="132">
        <f t="shared" si="38"/>
        <v>0</v>
      </c>
      <c r="O119" s="133">
        <f t="shared" si="39"/>
        <v>0</v>
      </c>
      <c r="P119" s="103">
        <f>SUM(N$27:N119)</f>
        <v>0</v>
      </c>
      <c r="Q119" s="103">
        <f t="shared" si="49"/>
        <v>0</v>
      </c>
      <c r="R119" s="103">
        <f t="shared" si="43"/>
        <v>0</v>
      </c>
      <c r="S119" s="103">
        <f t="shared" si="44"/>
        <v>0</v>
      </c>
      <c r="T119" s="103">
        <f t="shared" si="45"/>
        <v>0</v>
      </c>
      <c r="U119" s="96" t="s">
        <v>67</v>
      </c>
      <c r="V119" s="96" t="str">
        <f t="shared" si="40"/>
        <v>-</v>
      </c>
      <c r="W119" s="96" t="str">
        <f t="shared" si="46"/>
        <v>-</v>
      </c>
      <c r="X119" s="96" t="str">
        <f t="shared" si="47"/>
        <v>-</v>
      </c>
      <c r="Y119" s="107" t="str">
        <f t="shared" si="41"/>
        <v/>
      </c>
      <c r="Z119" s="71"/>
    </row>
    <row r="120" spans="1:26" x14ac:dyDescent="0.2">
      <c r="A120" s="108">
        <v>93</v>
      </c>
      <c r="B120" s="132">
        <f t="shared" si="22"/>
        <v>0</v>
      </c>
      <c r="C120" s="104">
        <f t="shared" si="48"/>
        <v>0</v>
      </c>
      <c r="D120" s="132">
        <f t="shared" si="33"/>
        <v>0</v>
      </c>
      <c r="E120" s="132">
        <f t="shared" si="34"/>
        <v>0</v>
      </c>
      <c r="F120" s="132">
        <f t="shared" si="35"/>
        <v>0</v>
      </c>
      <c r="G120" s="114">
        <f>IF(SUM(K$27:K119)&gt;0,0,IF(Y120&lt;&gt;"-",$B$3,0))</f>
        <v>0</v>
      </c>
      <c r="H120" s="114">
        <f t="shared" si="36"/>
        <v>0</v>
      </c>
      <c r="I120" s="105">
        <f t="shared" si="42"/>
        <v>0</v>
      </c>
      <c r="J120" s="105">
        <f t="shared" si="37"/>
        <v>0</v>
      </c>
      <c r="K120" s="132">
        <f t="shared" si="23"/>
        <v>0</v>
      </c>
      <c r="L120" s="133">
        <f t="shared" si="24"/>
        <v>0</v>
      </c>
      <c r="M120" s="132">
        <f>IF(SUM(K$28:K120)&gt;0,MIN(O119*(1+B$9)^(1/12),G$25-G120+K120),0)</f>
        <v>0</v>
      </c>
      <c r="N120" s="132">
        <f t="shared" si="38"/>
        <v>0</v>
      </c>
      <c r="O120" s="133">
        <f t="shared" si="39"/>
        <v>0</v>
      </c>
      <c r="P120" s="103">
        <f>SUM(N$27:N120)</f>
        <v>0</v>
      </c>
      <c r="Q120" s="103">
        <f t="shared" si="49"/>
        <v>0</v>
      </c>
      <c r="R120" s="103">
        <f t="shared" si="43"/>
        <v>0</v>
      </c>
      <c r="S120" s="103">
        <f t="shared" si="44"/>
        <v>0</v>
      </c>
      <c r="T120" s="103">
        <f t="shared" si="45"/>
        <v>0</v>
      </c>
      <c r="U120" s="96" t="s">
        <v>67</v>
      </c>
      <c r="V120" s="96" t="str">
        <f t="shared" si="40"/>
        <v>q</v>
      </c>
      <c r="W120" s="96" t="str">
        <f t="shared" si="46"/>
        <v>-</v>
      </c>
      <c r="X120" s="96" t="str">
        <f t="shared" si="47"/>
        <v>-</v>
      </c>
      <c r="Y120" s="107" t="str">
        <f t="shared" si="41"/>
        <v/>
      </c>
      <c r="Z120" s="71"/>
    </row>
    <row r="121" spans="1:26" x14ac:dyDescent="0.2">
      <c r="A121" s="108">
        <v>94</v>
      </c>
      <c r="B121" s="132">
        <f t="shared" si="22"/>
        <v>0</v>
      </c>
      <c r="C121" s="104">
        <f t="shared" si="48"/>
        <v>0</v>
      </c>
      <c r="D121" s="132">
        <f t="shared" si="33"/>
        <v>0</v>
      </c>
      <c r="E121" s="132">
        <f t="shared" si="34"/>
        <v>0</v>
      </c>
      <c r="F121" s="132">
        <f t="shared" si="35"/>
        <v>0</v>
      </c>
      <c r="G121" s="114">
        <f>IF(SUM(K$27:K120)&gt;0,0,IF(Y121&lt;&gt;"-",$B$3,0))</f>
        <v>0</v>
      </c>
      <c r="H121" s="114">
        <f t="shared" si="36"/>
        <v>0</v>
      </c>
      <c r="I121" s="105">
        <f t="shared" si="42"/>
        <v>0</v>
      </c>
      <c r="J121" s="105">
        <f t="shared" si="37"/>
        <v>0</v>
      </c>
      <c r="K121" s="132">
        <f t="shared" si="23"/>
        <v>0</v>
      </c>
      <c r="L121" s="133">
        <f t="shared" si="24"/>
        <v>0</v>
      </c>
      <c r="M121" s="132">
        <f>IF(SUM(K$28:K121)&gt;0,MIN(O120*(1+B$9)^(1/12),G$25-G121+K121),0)</f>
        <v>0</v>
      </c>
      <c r="N121" s="132">
        <f t="shared" si="38"/>
        <v>0</v>
      </c>
      <c r="O121" s="133">
        <f t="shared" si="39"/>
        <v>0</v>
      </c>
      <c r="P121" s="103">
        <f>SUM(N$27:N121)</f>
        <v>0</v>
      </c>
      <c r="Q121" s="103">
        <f t="shared" si="49"/>
        <v>0</v>
      </c>
      <c r="R121" s="103">
        <f t="shared" si="43"/>
        <v>0</v>
      </c>
      <c r="S121" s="103">
        <f t="shared" si="44"/>
        <v>0</v>
      </c>
      <c r="T121" s="103">
        <f t="shared" si="45"/>
        <v>0</v>
      </c>
      <c r="U121" s="96" t="s">
        <v>67</v>
      </c>
      <c r="V121" s="96" t="str">
        <f t="shared" si="40"/>
        <v>-</v>
      </c>
      <c r="W121" s="96" t="str">
        <f t="shared" si="46"/>
        <v>-</v>
      </c>
      <c r="X121" s="96" t="str">
        <f t="shared" si="47"/>
        <v>-</v>
      </c>
      <c r="Y121" s="107" t="str">
        <f t="shared" si="41"/>
        <v/>
      </c>
      <c r="Z121" s="71"/>
    </row>
    <row r="122" spans="1:26" x14ac:dyDescent="0.2">
      <c r="A122" s="108">
        <v>95</v>
      </c>
      <c r="B122" s="132">
        <f t="shared" ref="B122:B145" si="50">G122+H122-D122-K122</f>
        <v>0</v>
      </c>
      <c r="C122" s="104">
        <f t="shared" si="48"/>
        <v>0</v>
      </c>
      <c r="D122" s="132">
        <f t="shared" si="33"/>
        <v>0</v>
      </c>
      <c r="E122" s="132">
        <f t="shared" si="34"/>
        <v>0</v>
      </c>
      <c r="F122" s="132">
        <f t="shared" si="35"/>
        <v>0</v>
      </c>
      <c r="G122" s="114">
        <f>IF(SUM(K$27:K121)&gt;0,0,IF(Y122&lt;&gt;"-",$B$3,0))</f>
        <v>0</v>
      </c>
      <c r="H122" s="114">
        <f t="shared" si="36"/>
        <v>0</v>
      </c>
      <c r="I122" s="105">
        <f t="shared" si="42"/>
        <v>0</v>
      </c>
      <c r="J122" s="105">
        <f t="shared" si="37"/>
        <v>0</v>
      </c>
      <c r="K122" s="132">
        <f t="shared" ref="K122:K147" si="51">MAX(SUM(G122:J122)-SUM(C122:F122),0)</f>
        <v>0</v>
      </c>
      <c r="L122" s="133">
        <f t="shared" ref="L122:L147" si="52">SUM(C122:F122)-SUM(G122:J122)+K122</f>
        <v>0</v>
      </c>
      <c r="M122" s="132">
        <f>IF(SUM(K$28:K122)&gt;0,MIN(O121*(1+B$9)^(1/12),G$25-G122+K122),0)</f>
        <v>0</v>
      </c>
      <c r="N122" s="132">
        <f t="shared" si="38"/>
        <v>0</v>
      </c>
      <c r="O122" s="133">
        <f t="shared" si="39"/>
        <v>0</v>
      </c>
      <c r="P122" s="103">
        <f>SUM(N$27:N122)</f>
        <v>0</v>
      </c>
      <c r="Q122" s="103">
        <f t="shared" si="49"/>
        <v>0</v>
      </c>
      <c r="R122" s="103">
        <f t="shared" si="43"/>
        <v>0</v>
      </c>
      <c r="S122" s="103">
        <f t="shared" si="44"/>
        <v>0</v>
      </c>
      <c r="T122" s="103">
        <f t="shared" si="45"/>
        <v>0</v>
      </c>
      <c r="U122" s="96" t="s">
        <v>67</v>
      </c>
      <c r="V122" s="96" t="str">
        <f t="shared" si="40"/>
        <v>-</v>
      </c>
      <c r="W122" s="96" t="str">
        <f t="shared" si="46"/>
        <v>-</v>
      </c>
      <c r="X122" s="96" t="str">
        <f t="shared" si="47"/>
        <v>-</v>
      </c>
      <c r="Y122" s="107" t="str">
        <f t="shared" si="41"/>
        <v/>
      </c>
      <c r="Z122" s="71"/>
    </row>
    <row r="123" spans="1:26" x14ac:dyDescent="0.2">
      <c r="A123" s="110">
        <v>96</v>
      </c>
      <c r="B123" s="111">
        <f t="shared" si="50"/>
        <v>0</v>
      </c>
      <c r="C123" s="111">
        <f t="shared" si="48"/>
        <v>0</v>
      </c>
      <c r="D123" s="111">
        <f t="shared" si="33"/>
        <v>0</v>
      </c>
      <c r="E123" s="111">
        <f t="shared" si="34"/>
        <v>0</v>
      </c>
      <c r="F123" s="111">
        <f t="shared" si="35"/>
        <v>0</v>
      </c>
      <c r="G123" s="112">
        <f>IF(SUM(K$27:K122)&gt;0,0,IF(Y123&lt;&gt;"-",$B$3,0))</f>
        <v>0</v>
      </c>
      <c r="H123" s="112">
        <f t="shared" si="36"/>
        <v>0</v>
      </c>
      <c r="I123" s="112">
        <f t="shared" si="42"/>
        <v>0</v>
      </c>
      <c r="J123" s="112">
        <f t="shared" si="37"/>
        <v>0</v>
      </c>
      <c r="K123" s="111">
        <f t="shared" si="51"/>
        <v>0</v>
      </c>
      <c r="L123" s="113">
        <f t="shared" si="52"/>
        <v>0</v>
      </c>
      <c r="M123" s="111">
        <f>IF(SUM(K$28:K123)&gt;0,MIN(O122*(1+B$9)^(1/12),G$25-G123+K123),0)</f>
        <v>0</v>
      </c>
      <c r="N123" s="111">
        <f t="shared" si="38"/>
        <v>0</v>
      </c>
      <c r="O123" s="113">
        <f t="shared" si="39"/>
        <v>0</v>
      </c>
      <c r="P123" s="111">
        <f>SUM(N$27:N123)</f>
        <v>0</v>
      </c>
      <c r="Q123" s="111">
        <f t="shared" si="49"/>
        <v>0</v>
      </c>
      <c r="R123" s="111">
        <f t="shared" si="43"/>
        <v>0</v>
      </c>
      <c r="S123" s="111">
        <f t="shared" si="44"/>
        <v>0</v>
      </c>
      <c r="T123" s="111">
        <f t="shared" si="45"/>
        <v>0</v>
      </c>
      <c r="U123" s="101" t="s">
        <v>67</v>
      </c>
      <c r="V123" s="101" t="str">
        <f t="shared" si="40"/>
        <v>q</v>
      </c>
      <c r="W123" s="101" t="str">
        <f t="shared" si="46"/>
        <v>s</v>
      </c>
      <c r="X123" s="101" t="str">
        <f t="shared" si="47"/>
        <v>a</v>
      </c>
      <c r="Y123" s="107" t="str">
        <f t="shared" si="41"/>
        <v/>
      </c>
      <c r="Z123" s="71"/>
    </row>
    <row r="124" spans="1:26" x14ac:dyDescent="0.2">
      <c r="A124" s="108">
        <v>97</v>
      </c>
      <c r="B124" s="132">
        <f t="shared" si="50"/>
        <v>0</v>
      </c>
      <c r="C124" s="104">
        <f t="shared" si="48"/>
        <v>0</v>
      </c>
      <c r="D124" s="132">
        <f t="shared" ref="D124:D147" si="53">IF(Y124&lt;&gt;"-",$B$2,0)</f>
        <v>0</v>
      </c>
      <c r="E124" s="132">
        <f t="shared" ref="E124:E147" si="54">C124*(1+$B$9)^(1/12)-C124-F124</f>
        <v>0</v>
      </c>
      <c r="F124" s="132">
        <f t="shared" ref="F124:F147" si="55">C124*(1+$B$10)^(1/12)-C124</f>
        <v>0</v>
      </c>
      <c r="G124" s="114">
        <f>IF(SUM(K$27:K123)&gt;0,0,IF(Y124&lt;&gt;"-",$B$3,0))</f>
        <v>0</v>
      </c>
      <c r="H124" s="114">
        <f t="shared" ref="H124:H147" si="56">IF($B$7="No",F124,0)</f>
        <v>0</v>
      </c>
      <c r="I124" s="105">
        <f t="shared" si="42"/>
        <v>0</v>
      </c>
      <c r="J124" s="105">
        <f t="shared" ref="J124:J147" si="57">VLOOKUP(C124,$D$3:$J$9,7,TRUE)-VLOOKUP(C124,$D$3:$J$9,4,TRUE)*(VLOOKUP(C124,$D$3:$J$9,2,TRUE)-C124)/12</f>
        <v>0</v>
      </c>
      <c r="K124" s="132">
        <f t="shared" si="51"/>
        <v>0</v>
      </c>
      <c r="L124" s="133">
        <f t="shared" si="52"/>
        <v>0</v>
      </c>
      <c r="M124" s="132">
        <f>IF(SUM(K$28:K124)&gt;0,MIN(O123*(1+B$9)^(1/12),G$25-G124+K124),0)</f>
        <v>0</v>
      </c>
      <c r="N124" s="132">
        <f t="shared" ref="N124:N147" si="58">(O123-L123)*((1+B$9)^(1/12)-1)+J124+I124</f>
        <v>0</v>
      </c>
      <c r="O124" s="133">
        <f t="shared" ref="O124:O147" si="59">(O123)*(1+B$9)^(1/12)+D124-G124-H124-M124+K124/(1+B$9)</f>
        <v>0</v>
      </c>
      <c r="P124" s="103">
        <f>SUM(N$27:N124)</f>
        <v>0</v>
      </c>
      <c r="Q124" s="103">
        <f t="shared" si="49"/>
        <v>0</v>
      </c>
      <c r="R124" s="103">
        <f t="shared" si="43"/>
        <v>0</v>
      </c>
      <c r="S124" s="103">
        <f t="shared" si="44"/>
        <v>0</v>
      </c>
      <c r="T124" s="103">
        <f t="shared" si="45"/>
        <v>0</v>
      </c>
      <c r="U124" s="96" t="s">
        <v>67</v>
      </c>
      <c r="V124" s="96" t="str">
        <f t="shared" si="40"/>
        <v>-</v>
      </c>
      <c r="W124" s="96" t="str">
        <f t="shared" si="46"/>
        <v>-</v>
      </c>
      <c r="X124" s="96" t="str">
        <f t="shared" si="47"/>
        <v>-</v>
      </c>
      <c r="Y124" s="107" t="str">
        <f t="shared" ref="Y124:Y147" si="60">IF($B$15="Monthly",$U124,"")
&amp;IF($B$15="Quarterly",$V124,"")
&amp;IF($B$15="1/2 Yearly",$W124,"")
&amp;IF($B$15="Yearly",$X124,"")</f>
        <v/>
      </c>
      <c r="Z124" s="71"/>
    </row>
    <row r="125" spans="1:26" x14ac:dyDescent="0.2">
      <c r="A125" s="108">
        <v>98</v>
      </c>
      <c r="B125" s="132">
        <f t="shared" si="50"/>
        <v>0</v>
      </c>
      <c r="C125" s="104">
        <f t="shared" si="48"/>
        <v>0</v>
      </c>
      <c r="D125" s="132">
        <f t="shared" si="53"/>
        <v>0</v>
      </c>
      <c r="E125" s="132">
        <f t="shared" si="54"/>
        <v>0</v>
      </c>
      <c r="F125" s="132">
        <f t="shared" si="55"/>
        <v>0</v>
      </c>
      <c r="G125" s="114">
        <f>IF(SUM(K$27:K124)&gt;0,0,IF(Y125&lt;&gt;"-",$B$3,0))</f>
        <v>0</v>
      </c>
      <c r="H125" s="114">
        <f t="shared" si="56"/>
        <v>0</v>
      </c>
      <c r="I125" s="105">
        <f t="shared" si="42"/>
        <v>0</v>
      </c>
      <c r="J125" s="105">
        <f t="shared" si="57"/>
        <v>0</v>
      </c>
      <c r="K125" s="132">
        <f t="shared" si="51"/>
        <v>0</v>
      </c>
      <c r="L125" s="133">
        <f t="shared" si="52"/>
        <v>0</v>
      </c>
      <c r="M125" s="132">
        <f>IF(SUM(K$28:K125)&gt;0,MIN(O124*(1+B$9)^(1/12),G$25-G125+K125),0)</f>
        <v>0</v>
      </c>
      <c r="N125" s="132">
        <f t="shared" si="58"/>
        <v>0</v>
      </c>
      <c r="O125" s="133">
        <f t="shared" si="59"/>
        <v>0</v>
      </c>
      <c r="P125" s="103">
        <f>SUM(N$27:N125)</f>
        <v>0</v>
      </c>
      <c r="Q125" s="103">
        <f t="shared" si="49"/>
        <v>0</v>
      </c>
      <c r="R125" s="103">
        <f t="shared" si="43"/>
        <v>0</v>
      </c>
      <c r="S125" s="103">
        <f t="shared" si="44"/>
        <v>0</v>
      </c>
      <c r="T125" s="103">
        <f t="shared" si="45"/>
        <v>0</v>
      </c>
      <c r="U125" s="96" t="s">
        <v>67</v>
      </c>
      <c r="V125" s="96" t="str">
        <f t="shared" si="40"/>
        <v>-</v>
      </c>
      <c r="W125" s="96" t="str">
        <f t="shared" si="46"/>
        <v>-</v>
      </c>
      <c r="X125" s="96" t="str">
        <f t="shared" si="47"/>
        <v>-</v>
      </c>
      <c r="Y125" s="107" t="str">
        <f t="shared" si="60"/>
        <v/>
      </c>
      <c r="Z125" s="71"/>
    </row>
    <row r="126" spans="1:26" x14ac:dyDescent="0.2">
      <c r="A126" s="108">
        <v>99</v>
      </c>
      <c r="B126" s="132">
        <f t="shared" si="50"/>
        <v>0</v>
      </c>
      <c r="C126" s="104">
        <f t="shared" si="48"/>
        <v>0</v>
      </c>
      <c r="D126" s="132">
        <f t="shared" si="53"/>
        <v>0</v>
      </c>
      <c r="E126" s="132">
        <f t="shared" si="54"/>
        <v>0</v>
      </c>
      <c r="F126" s="132">
        <f t="shared" si="55"/>
        <v>0</v>
      </c>
      <c r="G126" s="114">
        <f>IF(SUM(K$27:K125)&gt;0,0,IF(Y126&lt;&gt;"-",$B$3,0))</f>
        <v>0</v>
      </c>
      <c r="H126" s="114">
        <f t="shared" si="56"/>
        <v>0</v>
      </c>
      <c r="I126" s="105">
        <f t="shared" si="42"/>
        <v>0</v>
      </c>
      <c r="J126" s="105">
        <f t="shared" si="57"/>
        <v>0</v>
      </c>
      <c r="K126" s="132">
        <f t="shared" si="51"/>
        <v>0</v>
      </c>
      <c r="L126" s="133">
        <f t="shared" si="52"/>
        <v>0</v>
      </c>
      <c r="M126" s="132">
        <f>IF(SUM(K$28:K126)&gt;0,MIN(O125*(1+B$9)^(1/12),G$25-G126+K126),0)</f>
        <v>0</v>
      </c>
      <c r="N126" s="132">
        <f t="shared" si="58"/>
        <v>0</v>
      </c>
      <c r="O126" s="133">
        <f t="shared" si="59"/>
        <v>0</v>
      </c>
      <c r="P126" s="103">
        <f>SUM(N$27:N126)</f>
        <v>0</v>
      </c>
      <c r="Q126" s="103">
        <f t="shared" si="49"/>
        <v>0</v>
      </c>
      <c r="R126" s="103">
        <f t="shared" si="43"/>
        <v>0</v>
      </c>
      <c r="S126" s="103">
        <f t="shared" si="44"/>
        <v>0</v>
      </c>
      <c r="T126" s="103">
        <f t="shared" si="45"/>
        <v>0</v>
      </c>
      <c r="U126" s="96" t="s">
        <v>67</v>
      </c>
      <c r="V126" s="96" t="str">
        <f t="shared" si="40"/>
        <v>q</v>
      </c>
      <c r="W126" s="96" t="str">
        <f t="shared" si="46"/>
        <v>-</v>
      </c>
      <c r="X126" s="96" t="str">
        <f t="shared" si="47"/>
        <v>-</v>
      </c>
      <c r="Y126" s="107" t="str">
        <f t="shared" si="60"/>
        <v/>
      </c>
      <c r="Z126" s="71"/>
    </row>
    <row r="127" spans="1:26" x14ac:dyDescent="0.2">
      <c r="A127" s="108">
        <v>100</v>
      </c>
      <c r="B127" s="132">
        <f t="shared" si="50"/>
        <v>0</v>
      </c>
      <c r="C127" s="104">
        <f t="shared" si="48"/>
        <v>0</v>
      </c>
      <c r="D127" s="132">
        <f t="shared" si="53"/>
        <v>0</v>
      </c>
      <c r="E127" s="132">
        <f t="shared" si="54"/>
        <v>0</v>
      </c>
      <c r="F127" s="132">
        <f t="shared" si="55"/>
        <v>0</v>
      </c>
      <c r="G127" s="114">
        <f>IF(SUM(K$27:K126)&gt;0,0,IF(Y127&lt;&gt;"-",$B$3,0))</f>
        <v>0</v>
      </c>
      <c r="H127" s="114">
        <f t="shared" si="56"/>
        <v>0</v>
      </c>
      <c r="I127" s="105">
        <f t="shared" si="42"/>
        <v>0</v>
      </c>
      <c r="J127" s="105">
        <f t="shared" si="57"/>
        <v>0</v>
      </c>
      <c r="K127" s="132">
        <f t="shared" si="51"/>
        <v>0</v>
      </c>
      <c r="L127" s="133">
        <f t="shared" si="52"/>
        <v>0</v>
      </c>
      <c r="M127" s="132">
        <f>IF(SUM(K$28:K127)&gt;0,MIN(O126*(1+B$9)^(1/12),G$25-G127+K127),0)</f>
        <v>0</v>
      </c>
      <c r="N127" s="132">
        <f t="shared" si="58"/>
        <v>0</v>
      </c>
      <c r="O127" s="133">
        <f t="shared" si="59"/>
        <v>0</v>
      </c>
      <c r="P127" s="103">
        <f>SUM(N$27:N127)</f>
        <v>0</v>
      </c>
      <c r="Q127" s="103">
        <f t="shared" si="49"/>
        <v>0</v>
      </c>
      <c r="R127" s="103">
        <f t="shared" si="43"/>
        <v>0</v>
      </c>
      <c r="S127" s="103">
        <f t="shared" si="44"/>
        <v>0</v>
      </c>
      <c r="T127" s="103">
        <f t="shared" si="45"/>
        <v>0</v>
      </c>
      <c r="U127" s="96" t="s">
        <v>67</v>
      </c>
      <c r="V127" s="96" t="str">
        <f t="shared" si="40"/>
        <v>-</v>
      </c>
      <c r="W127" s="96" t="str">
        <f t="shared" si="46"/>
        <v>-</v>
      </c>
      <c r="X127" s="96" t="str">
        <f t="shared" si="47"/>
        <v>-</v>
      </c>
      <c r="Y127" s="107" t="str">
        <f t="shared" si="60"/>
        <v/>
      </c>
      <c r="Z127" s="71"/>
    </row>
    <row r="128" spans="1:26" x14ac:dyDescent="0.2">
      <c r="A128" s="108">
        <v>101</v>
      </c>
      <c r="B128" s="132">
        <f t="shared" si="50"/>
        <v>0</v>
      </c>
      <c r="C128" s="104">
        <f t="shared" si="48"/>
        <v>0</v>
      </c>
      <c r="D128" s="132">
        <f t="shared" si="53"/>
        <v>0</v>
      </c>
      <c r="E128" s="132">
        <f t="shared" si="54"/>
        <v>0</v>
      </c>
      <c r="F128" s="132">
        <f t="shared" si="55"/>
        <v>0</v>
      </c>
      <c r="G128" s="114">
        <f>IF(SUM(K$27:K127)&gt;0,0,IF(Y128&lt;&gt;"-",$B$3,0))</f>
        <v>0</v>
      </c>
      <c r="H128" s="114">
        <f t="shared" si="56"/>
        <v>0</v>
      </c>
      <c r="I128" s="105">
        <f t="shared" si="42"/>
        <v>0</v>
      </c>
      <c r="J128" s="105">
        <f t="shared" si="57"/>
        <v>0</v>
      </c>
      <c r="K128" s="132">
        <f t="shared" si="51"/>
        <v>0</v>
      </c>
      <c r="L128" s="133">
        <f t="shared" si="52"/>
        <v>0</v>
      </c>
      <c r="M128" s="132">
        <f>IF(SUM(K$28:K128)&gt;0,MIN(O127*(1+B$9)^(1/12),G$25-G128+K128),0)</f>
        <v>0</v>
      </c>
      <c r="N128" s="132">
        <f t="shared" si="58"/>
        <v>0</v>
      </c>
      <c r="O128" s="133">
        <f t="shared" si="59"/>
        <v>0</v>
      </c>
      <c r="P128" s="103">
        <f>SUM(N$27:N128)</f>
        <v>0</v>
      </c>
      <c r="Q128" s="103">
        <f t="shared" si="49"/>
        <v>0</v>
      </c>
      <c r="R128" s="103">
        <f t="shared" si="43"/>
        <v>0</v>
      </c>
      <c r="S128" s="103">
        <f t="shared" si="44"/>
        <v>0</v>
      </c>
      <c r="T128" s="103">
        <f t="shared" si="45"/>
        <v>0</v>
      </c>
      <c r="U128" s="96" t="s">
        <v>67</v>
      </c>
      <c r="V128" s="96" t="str">
        <f t="shared" si="40"/>
        <v>-</v>
      </c>
      <c r="W128" s="96" t="str">
        <f t="shared" si="46"/>
        <v>-</v>
      </c>
      <c r="X128" s="96" t="str">
        <f t="shared" si="47"/>
        <v>-</v>
      </c>
      <c r="Y128" s="107" t="str">
        <f t="shared" si="60"/>
        <v/>
      </c>
      <c r="Z128" s="71"/>
    </row>
    <row r="129" spans="1:26" x14ac:dyDescent="0.2">
      <c r="A129" s="108">
        <v>102</v>
      </c>
      <c r="B129" s="132">
        <f t="shared" si="50"/>
        <v>0</v>
      </c>
      <c r="C129" s="104">
        <f t="shared" si="48"/>
        <v>0</v>
      </c>
      <c r="D129" s="132">
        <f t="shared" si="53"/>
        <v>0</v>
      </c>
      <c r="E129" s="132">
        <f t="shared" si="54"/>
        <v>0</v>
      </c>
      <c r="F129" s="132">
        <f t="shared" si="55"/>
        <v>0</v>
      </c>
      <c r="G129" s="114">
        <f>IF(SUM(K$27:K128)&gt;0,0,IF(Y129&lt;&gt;"-",$B$3,0))</f>
        <v>0</v>
      </c>
      <c r="H129" s="114">
        <f t="shared" si="56"/>
        <v>0</v>
      </c>
      <c r="I129" s="105">
        <f t="shared" si="42"/>
        <v>0</v>
      </c>
      <c r="J129" s="105">
        <f t="shared" si="57"/>
        <v>0</v>
      </c>
      <c r="K129" s="132">
        <f t="shared" si="51"/>
        <v>0</v>
      </c>
      <c r="L129" s="133">
        <f t="shared" si="52"/>
        <v>0</v>
      </c>
      <c r="M129" s="132">
        <f>IF(SUM(K$28:K129)&gt;0,MIN(O128*(1+B$9)^(1/12),G$25-G129+K129),0)</f>
        <v>0</v>
      </c>
      <c r="N129" s="132">
        <f t="shared" si="58"/>
        <v>0</v>
      </c>
      <c r="O129" s="133">
        <f t="shared" si="59"/>
        <v>0</v>
      </c>
      <c r="P129" s="103">
        <f>SUM(N$27:N129)</f>
        <v>0</v>
      </c>
      <c r="Q129" s="103">
        <f t="shared" si="49"/>
        <v>0</v>
      </c>
      <c r="R129" s="103">
        <f t="shared" si="43"/>
        <v>0</v>
      </c>
      <c r="S129" s="103">
        <f t="shared" si="44"/>
        <v>0</v>
      </c>
      <c r="T129" s="103">
        <f t="shared" si="45"/>
        <v>0</v>
      </c>
      <c r="U129" s="96" t="s">
        <v>67</v>
      </c>
      <c r="V129" s="96" t="str">
        <f t="shared" si="40"/>
        <v>q</v>
      </c>
      <c r="W129" s="96" t="str">
        <f t="shared" si="46"/>
        <v>s</v>
      </c>
      <c r="X129" s="96" t="str">
        <f t="shared" si="47"/>
        <v>-</v>
      </c>
      <c r="Y129" s="107" t="str">
        <f t="shared" si="60"/>
        <v/>
      </c>
      <c r="Z129" s="71"/>
    </row>
    <row r="130" spans="1:26" x14ac:dyDescent="0.2">
      <c r="A130" s="108">
        <v>103</v>
      </c>
      <c r="B130" s="132">
        <f t="shared" si="50"/>
        <v>0</v>
      </c>
      <c r="C130" s="104">
        <f t="shared" si="48"/>
        <v>0</v>
      </c>
      <c r="D130" s="132">
        <f t="shared" si="53"/>
        <v>0</v>
      </c>
      <c r="E130" s="132">
        <f t="shared" si="54"/>
        <v>0</v>
      </c>
      <c r="F130" s="132">
        <f t="shared" si="55"/>
        <v>0</v>
      </c>
      <c r="G130" s="114">
        <f>IF(SUM(K$27:K129)&gt;0,0,IF(Y130&lt;&gt;"-",$B$3,0))</f>
        <v>0</v>
      </c>
      <c r="H130" s="114">
        <f t="shared" si="56"/>
        <v>0</v>
      </c>
      <c r="I130" s="105">
        <f t="shared" si="42"/>
        <v>0</v>
      </c>
      <c r="J130" s="105">
        <f t="shared" si="57"/>
        <v>0</v>
      </c>
      <c r="K130" s="132">
        <f t="shared" si="51"/>
        <v>0</v>
      </c>
      <c r="L130" s="133">
        <f t="shared" si="52"/>
        <v>0</v>
      </c>
      <c r="M130" s="132">
        <f>IF(SUM(K$28:K130)&gt;0,MIN(O129*(1+B$9)^(1/12),G$25-G130+K130),0)</f>
        <v>0</v>
      </c>
      <c r="N130" s="132">
        <f t="shared" si="58"/>
        <v>0</v>
      </c>
      <c r="O130" s="133">
        <f t="shared" si="59"/>
        <v>0</v>
      </c>
      <c r="P130" s="103">
        <f>SUM(N$27:N130)</f>
        <v>0</v>
      </c>
      <c r="Q130" s="103">
        <f t="shared" si="49"/>
        <v>0</v>
      </c>
      <c r="R130" s="103">
        <f t="shared" si="43"/>
        <v>0</v>
      </c>
      <c r="S130" s="103">
        <f t="shared" si="44"/>
        <v>0</v>
      </c>
      <c r="T130" s="103">
        <f t="shared" si="45"/>
        <v>0</v>
      </c>
      <c r="U130" s="96" t="s">
        <v>67</v>
      </c>
      <c r="V130" s="96" t="str">
        <f t="shared" si="40"/>
        <v>-</v>
      </c>
      <c r="W130" s="96" t="str">
        <f t="shared" si="46"/>
        <v>-</v>
      </c>
      <c r="X130" s="96" t="str">
        <f t="shared" si="47"/>
        <v>-</v>
      </c>
      <c r="Y130" s="107" t="str">
        <f t="shared" si="60"/>
        <v/>
      </c>
      <c r="Z130" s="71"/>
    </row>
    <row r="131" spans="1:26" x14ac:dyDescent="0.2">
      <c r="A131" s="108">
        <v>104</v>
      </c>
      <c r="B131" s="132">
        <f t="shared" si="50"/>
        <v>0</v>
      </c>
      <c r="C131" s="104">
        <f t="shared" si="48"/>
        <v>0</v>
      </c>
      <c r="D131" s="132">
        <f t="shared" si="53"/>
        <v>0</v>
      </c>
      <c r="E131" s="132">
        <f t="shared" si="54"/>
        <v>0</v>
      </c>
      <c r="F131" s="132">
        <f t="shared" si="55"/>
        <v>0</v>
      </c>
      <c r="G131" s="114">
        <f>IF(SUM(K$27:K130)&gt;0,0,IF(Y131&lt;&gt;"-",$B$3,0))</f>
        <v>0</v>
      </c>
      <c r="H131" s="114">
        <f t="shared" si="56"/>
        <v>0</v>
      </c>
      <c r="I131" s="105">
        <f t="shared" si="42"/>
        <v>0</v>
      </c>
      <c r="J131" s="105">
        <f t="shared" si="57"/>
        <v>0</v>
      </c>
      <c r="K131" s="132">
        <f t="shared" si="51"/>
        <v>0</v>
      </c>
      <c r="L131" s="133">
        <f t="shared" si="52"/>
        <v>0</v>
      </c>
      <c r="M131" s="132">
        <f>IF(SUM(K$28:K131)&gt;0,MIN(O130*(1+B$9)^(1/12),G$25-G131+K131),0)</f>
        <v>0</v>
      </c>
      <c r="N131" s="132">
        <f t="shared" si="58"/>
        <v>0</v>
      </c>
      <c r="O131" s="133">
        <f t="shared" si="59"/>
        <v>0</v>
      </c>
      <c r="P131" s="103">
        <f>SUM(N$27:N131)</f>
        <v>0</v>
      </c>
      <c r="Q131" s="103">
        <f t="shared" si="49"/>
        <v>0</v>
      </c>
      <c r="R131" s="103">
        <f t="shared" si="43"/>
        <v>0</v>
      </c>
      <c r="S131" s="103">
        <f t="shared" si="44"/>
        <v>0</v>
      </c>
      <c r="T131" s="103">
        <f t="shared" si="45"/>
        <v>0</v>
      </c>
      <c r="U131" s="96" t="s">
        <v>67</v>
      </c>
      <c r="V131" s="96" t="str">
        <f t="shared" si="40"/>
        <v>-</v>
      </c>
      <c r="W131" s="96" t="str">
        <f t="shared" si="46"/>
        <v>-</v>
      </c>
      <c r="X131" s="96" t="str">
        <f t="shared" si="47"/>
        <v>-</v>
      </c>
      <c r="Y131" s="107" t="str">
        <f t="shared" si="60"/>
        <v/>
      </c>
      <c r="Z131" s="71"/>
    </row>
    <row r="132" spans="1:26" x14ac:dyDescent="0.2">
      <c r="A132" s="108">
        <v>105</v>
      </c>
      <c r="B132" s="132">
        <f t="shared" si="50"/>
        <v>0</v>
      </c>
      <c r="C132" s="104">
        <f t="shared" si="48"/>
        <v>0</v>
      </c>
      <c r="D132" s="132">
        <f t="shared" si="53"/>
        <v>0</v>
      </c>
      <c r="E132" s="132">
        <f t="shared" si="54"/>
        <v>0</v>
      </c>
      <c r="F132" s="132">
        <f t="shared" si="55"/>
        <v>0</v>
      </c>
      <c r="G132" s="114">
        <f>IF(SUM(K$27:K131)&gt;0,0,IF(Y132&lt;&gt;"-",$B$3,0))</f>
        <v>0</v>
      </c>
      <c r="H132" s="114">
        <f t="shared" si="56"/>
        <v>0</v>
      </c>
      <c r="I132" s="105">
        <f t="shared" si="42"/>
        <v>0</v>
      </c>
      <c r="J132" s="105">
        <f t="shared" si="57"/>
        <v>0</v>
      </c>
      <c r="K132" s="132">
        <f t="shared" si="51"/>
        <v>0</v>
      </c>
      <c r="L132" s="133">
        <f t="shared" si="52"/>
        <v>0</v>
      </c>
      <c r="M132" s="132">
        <f>IF(SUM(K$28:K132)&gt;0,MIN(O131*(1+B$9)^(1/12),G$25-G132+K132),0)</f>
        <v>0</v>
      </c>
      <c r="N132" s="132">
        <f t="shared" si="58"/>
        <v>0</v>
      </c>
      <c r="O132" s="133">
        <f t="shared" si="59"/>
        <v>0</v>
      </c>
      <c r="P132" s="103">
        <f>SUM(N$27:N132)</f>
        <v>0</v>
      </c>
      <c r="Q132" s="103">
        <f t="shared" si="49"/>
        <v>0</v>
      </c>
      <c r="R132" s="103">
        <f t="shared" si="43"/>
        <v>0</v>
      </c>
      <c r="S132" s="103">
        <f t="shared" si="44"/>
        <v>0</v>
      </c>
      <c r="T132" s="103">
        <f t="shared" si="45"/>
        <v>0</v>
      </c>
      <c r="U132" s="96" t="s">
        <v>67</v>
      </c>
      <c r="V132" s="96" t="str">
        <f t="shared" si="40"/>
        <v>q</v>
      </c>
      <c r="W132" s="96" t="str">
        <f t="shared" si="46"/>
        <v>-</v>
      </c>
      <c r="X132" s="96" t="str">
        <f t="shared" si="47"/>
        <v>-</v>
      </c>
      <c r="Y132" s="107" t="str">
        <f t="shared" si="60"/>
        <v/>
      </c>
      <c r="Z132" s="71"/>
    </row>
    <row r="133" spans="1:26" x14ac:dyDescent="0.2">
      <c r="A133" s="108">
        <v>106</v>
      </c>
      <c r="B133" s="132">
        <f t="shared" si="50"/>
        <v>0</v>
      </c>
      <c r="C133" s="104">
        <f t="shared" si="48"/>
        <v>0</v>
      </c>
      <c r="D133" s="132">
        <f t="shared" si="53"/>
        <v>0</v>
      </c>
      <c r="E133" s="132">
        <f t="shared" si="54"/>
        <v>0</v>
      </c>
      <c r="F133" s="132">
        <f t="shared" si="55"/>
        <v>0</v>
      </c>
      <c r="G133" s="114">
        <f>IF(SUM(K$27:K132)&gt;0,0,IF(Y133&lt;&gt;"-",$B$3,0))</f>
        <v>0</v>
      </c>
      <c r="H133" s="114">
        <f t="shared" si="56"/>
        <v>0</v>
      </c>
      <c r="I133" s="105">
        <f t="shared" si="42"/>
        <v>0</v>
      </c>
      <c r="J133" s="105">
        <f t="shared" si="57"/>
        <v>0</v>
      </c>
      <c r="K133" s="134">
        <f t="shared" si="51"/>
        <v>0</v>
      </c>
      <c r="L133" s="135">
        <f t="shared" si="52"/>
        <v>0</v>
      </c>
      <c r="M133" s="134">
        <f>IF(SUM(K$28:K133)&gt;0,MIN(O132*(1+B$9)^(1/12),G$25-G133+K133),0)</f>
        <v>0</v>
      </c>
      <c r="N133" s="132">
        <f t="shared" si="58"/>
        <v>0</v>
      </c>
      <c r="O133" s="133">
        <f t="shared" si="59"/>
        <v>0</v>
      </c>
      <c r="P133" s="103">
        <f>SUM(N$27:N133)</f>
        <v>0</v>
      </c>
      <c r="Q133" s="103">
        <f t="shared" si="49"/>
        <v>0</v>
      </c>
      <c r="R133" s="103">
        <f t="shared" si="43"/>
        <v>0</v>
      </c>
      <c r="S133" s="103">
        <f t="shared" si="44"/>
        <v>0</v>
      </c>
      <c r="T133" s="103">
        <f t="shared" si="45"/>
        <v>0</v>
      </c>
      <c r="U133" s="96" t="s">
        <v>67</v>
      </c>
      <c r="V133" s="96" t="str">
        <f t="shared" si="40"/>
        <v>-</v>
      </c>
      <c r="W133" s="96" t="str">
        <f t="shared" si="46"/>
        <v>-</v>
      </c>
      <c r="X133" s="96" t="str">
        <f t="shared" si="47"/>
        <v>-</v>
      </c>
      <c r="Y133" s="107" t="str">
        <f t="shared" si="60"/>
        <v/>
      </c>
      <c r="Z133" s="71"/>
    </row>
    <row r="134" spans="1:26" x14ac:dyDescent="0.2">
      <c r="A134" s="108">
        <v>107</v>
      </c>
      <c r="B134" s="132">
        <f t="shared" si="50"/>
        <v>0</v>
      </c>
      <c r="C134" s="104">
        <f t="shared" si="48"/>
        <v>0</v>
      </c>
      <c r="D134" s="132">
        <f t="shared" si="53"/>
        <v>0</v>
      </c>
      <c r="E134" s="132">
        <f t="shared" si="54"/>
        <v>0</v>
      </c>
      <c r="F134" s="132">
        <f t="shared" si="55"/>
        <v>0</v>
      </c>
      <c r="G134" s="114">
        <f>IF(SUM(K$27:K133)&gt;0,0,IF(Y134&lt;&gt;"-",$B$3,0))</f>
        <v>0</v>
      </c>
      <c r="H134" s="114">
        <f t="shared" si="56"/>
        <v>0</v>
      </c>
      <c r="I134" s="105">
        <f t="shared" si="42"/>
        <v>0</v>
      </c>
      <c r="J134" s="105">
        <f t="shared" si="57"/>
        <v>0</v>
      </c>
      <c r="K134" s="132">
        <f t="shared" si="51"/>
        <v>0</v>
      </c>
      <c r="L134" s="133">
        <f t="shared" si="52"/>
        <v>0</v>
      </c>
      <c r="M134" s="132">
        <f>IF(SUM(K$28:K134)&gt;0,MIN(O133*(1+B$9)^(1/12),G$25-G134+K134),0)</f>
        <v>0</v>
      </c>
      <c r="N134" s="132">
        <f t="shared" si="58"/>
        <v>0</v>
      </c>
      <c r="O134" s="133">
        <f t="shared" si="59"/>
        <v>0</v>
      </c>
      <c r="P134" s="103">
        <f>SUM(N$27:N134)</f>
        <v>0</v>
      </c>
      <c r="Q134" s="103">
        <f t="shared" si="49"/>
        <v>0</v>
      </c>
      <c r="R134" s="103">
        <f t="shared" si="43"/>
        <v>0</v>
      </c>
      <c r="S134" s="103">
        <f t="shared" si="44"/>
        <v>0</v>
      </c>
      <c r="T134" s="103">
        <f t="shared" si="45"/>
        <v>0</v>
      </c>
      <c r="U134" s="96" t="s">
        <v>67</v>
      </c>
      <c r="V134" s="96" t="str">
        <f t="shared" si="40"/>
        <v>-</v>
      </c>
      <c r="W134" s="96" t="str">
        <f t="shared" si="46"/>
        <v>-</v>
      </c>
      <c r="X134" s="96" t="str">
        <f t="shared" si="47"/>
        <v>-</v>
      </c>
      <c r="Y134" s="107" t="str">
        <f t="shared" si="60"/>
        <v/>
      </c>
      <c r="Z134" s="71"/>
    </row>
    <row r="135" spans="1:26" x14ac:dyDescent="0.2">
      <c r="A135" s="110">
        <v>108</v>
      </c>
      <c r="B135" s="111">
        <f t="shared" si="50"/>
        <v>0</v>
      </c>
      <c r="C135" s="111">
        <f t="shared" si="48"/>
        <v>0</v>
      </c>
      <c r="D135" s="111">
        <f t="shared" si="53"/>
        <v>0</v>
      </c>
      <c r="E135" s="111">
        <f t="shared" si="54"/>
        <v>0</v>
      </c>
      <c r="F135" s="111">
        <f t="shared" si="55"/>
        <v>0</v>
      </c>
      <c r="G135" s="112">
        <f>IF(SUM(K$27:K134)&gt;0,0,IF(Y135&lt;&gt;"-",$B$3,0))</f>
        <v>0</v>
      </c>
      <c r="H135" s="112">
        <f t="shared" si="56"/>
        <v>0</v>
      </c>
      <c r="I135" s="112">
        <f t="shared" si="42"/>
        <v>0</v>
      </c>
      <c r="J135" s="112">
        <f t="shared" si="57"/>
        <v>0</v>
      </c>
      <c r="K135" s="111">
        <f t="shared" si="51"/>
        <v>0</v>
      </c>
      <c r="L135" s="113">
        <f t="shared" si="52"/>
        <v>0</v>
      </c>
      <c r="M135" s="111">
        <f>IF(SUM(K$28:K135)&gt;0,MIN(O134*(1+B$9)^(1/12),G$25-G135+K135),0)</f>
        <v>0</v>
      </c>
      <c r="N135" s="111">
        <f t="shared" si="58"/>
        <v>0</v>
      </c>
      <c r="O135" s="113">
        <f t="shared" si="59"/>
        <v>0</v>
      </c>
      <c r="P135" s="111">
        <f>SUM(N$27:N135)</f>
        <v>0</v>
      </c>
      <c r="Q135" s="111">
        <f t="shared" si="49"/>
        <v>0</v>
      </c>
      <c r="R135" s="111">
        <f t="shared" si="43"/>
        <v>0</v>
      </c>
      <c r="S135" s="111">
        <f t="shared" si="44"/>
        <v>0</v>
      </c>
      <c r="T135" s="111">
        <f t="shared" si="45"/>
        <v>0</v>
      </c>
      <c r="U135" s="101" t="s">
        <v>67</v>
      </c>
      <c r="V135" s="101" t="str">
        <f t="shared" si="40"/>
        <v>q</v>
      </c>
      <c r="W135" s="101" t="str">
        <f t="shared" si="46"/>
        <v>s</v>
      </c>
      <c r="X135" s="101" t="str">
        <f t="shared" si="47"/>
        <v>a</v>
      </c>
      <c r="Y135" s="107" t="str">
        <f t="shared" si="60"/>
        <v/>
      </c>
      <c r="Z135" s="71"/>
    </row>
    <row r="136" spans="1:26" x14ac:dyDescent="0.2">
      <c r="A136" s="108">
        <v>109</v>
      </c>
      <c r="B136" s="132">
        <f t="shared" si="50"/>
        <v>0</v>
      </c>
      <c r="C136" s="104">
        <f t="shared" si="48"/>
        <v>0</v>
      </c>
      <c r="D136" s="132">
        <f t="shared" si="53"/>
        <v>0</v>
      </c>
      <c r="E136" s="132">
        <f t="shared" si="54"/>
        <v>0</v>
      </c>
      <c r="F136" s="132">
        <f t="shared" si="55"/>
        <v>0</v>
      </c>
      <c r="G136" s="114">
        <f>IF(SUM(K$27:K135)&gt;0,0,IF(Y136&lt;&gt;"-",$B$3,0))</f>
        <v>0</v>
      </c>
      <c r="H136" s="114">
        <f t="shared" si="56"/>
        <v>0</v>
      </c>
      <c r="I136" s="105">
        <f t="shared" si="42"/>
        <v>0</v>
      </c>
      <c r="J136" s="105">
        <f t="shared" si="57"/>
        <v>0</v>
      </c>
      <c r="K136" s="132">
        <f t="shared" si="51"/>
        <v>0</v>
      </c>
      <c r="L136" s="133">
        <f t="shared" si="52"/>
        <v>0</v>
      </c>
      <c r="M136" s="132">
        <f>IF(SUM(K$28:K136)&gt;0,MIN(O135*(1+B$9)^(1/12),G$25-G136+K136),0)</f>
        <v>0</v>
      </c>
      <c r="N136" s="132">
        <f t="shared" si="58"/>
        <v>0</v>
      </c>
      <c r="O136" s="133">
        <f t="shared" si="59"/>
        <v>0</v>
      </c>
      <c r="P136" s="103">
        <f>SUM(N$27:N136)</f>
        <v>0</v>
      </c>
      <c r="Q136" s="103">
        <f t="shared" si="49"/>
        <v>0</v>
      </c>
      <c r="R136" s="103">
        <f t="shared" si="43"/>
        <v>0</v>
      </c>
      <c r="S136" s="103">
        <f t="shared" si="44"/>
        <v>0</v>
      </c>
      <c r="T136" s="103">
        <f t="shared" si="45"/>
        <v>0</v>
      </c>
      <c r="U136" s="96" t="s">
        <v>67</v>
      </c>
      <c r="V136" s="96" t="str">
        <f t="shared" si="40"/>
        <v>-</v>
      </c>
      <c r="W136" s="96" t="str">
        <f t="shared" si="46"/>
        <v>-</v>
      </c>
      <c r="X136" s="96" t="str">
        <f t="shared" si="47"/>
        <v>-</v>
      </c>
      <c r="Y136" s="107" t="str">
        <f t="shared" si="60"/>
        <v/>
      </c>
      <c r="Z136" s="71"/>
    </row>
    <row r="137" spans="1:26" x14ac:dyDescent="0.2">
      <c r="A137" s="108">
        <v>110</v>
      </c>
      <c r="B137" s="132">
        <f t="shared" si="50"/>
        <v>0</v>
      </c>
      <c r="C137" s="104">
        <f t="shared" si="48"/>
        <v>0</v>
      </c>
      <c r="D137" s="132">
        <f t="shared" si="53"/>
        <v>0</v>
      </c>
      <c r="E137" s="132">
        <f t="shared" si="54"/>
        <v>0</v>
      </c>
      <c r="F137" s="132">
        <f t="shared" si="55"/>
        <v>0</v>
      </c>
      <c r="G137" s="114">
        <f>IF(SUM(K$27:K136)&gt;0,0,IF(Y137&lt;&gt;"-",$B$3,0))</f>
        <v>0</v>
      </c>
      <c r="H137" s="114">
        <f t="shared" si="56"/>
        <v>0</v>
      </c>
      <c r="I137" s="105">
        <f t="shared" si="42"/>
        <v>0</v>
      </c>
      <c r="J137" s="105">
        <f t="shared" si="57"/>
        <v>0</v>
      </c>
      <c r="K137" s="132">
        <f t="shared" si="51"/>
        <v>0</v>
      </c>
      <c r="L137" s="133">
        <f t="shared" si="52"/>
        <v>0</v>
      </c>
      <c r="M137" s="132">
        <f>IF(SUM(K$28:K137)&gt;0,MIN(O136*(1+B$9)^(1/12),G$25-G137+K137),0)</f>
        <v>0</v>
      </c>
      <c r="N137" s="132">
        <f t="shared" si="58"/>
        <v>0</v>
      </c>
      <c r="O137" s="133">
        <f t="shared" si="59"/>
        <v>0</v>
      </c>
      <c r="P137" s="103">
        <f>SUM(N$27:N137)</f>
        <v>0</v>
      </c>
      <c r="Q137" s="103">
        <f t="shared" si="49"/>
        <v>0</v>
      </c>
      <c r="R137" s="103">
        <f t="shared" si="43"/>
        <v>0</v>
      </c>
      <c r="S137" s="103">
        <f t="shared" si="44"/>
        <v>0</v>
      </c>
      <c r="T137" s="103">
        <f t="shared" si="45"/>
        <v>0</v>
      </c>
      <c r="U137" s="96" t="s">
        <v>67</v>
      </c>
      <c r="V137" s="96" t="str">
        <f t="shared" si="40"/>
        <v>-</v>
      </c>
      <c r="W137" s="96" t="str">
        <f t="shared" si="46"/>
        <v>-</v>
      </c>
      <c r="X137" s="96" t="str">
        <f t="shared" si="47"/>
        <v>-</v>
      </c>
      <c r="Y137" s="107" t="str">
        <f t="shared" si="60"/>
        <v/>
      </c>
      <c r="Z137" s="71"/>
    </row>
    <row r="138" spans="1:26" x14ac:dyDescent="0.2">
      <c r="A138" s="108">
        <v>111</v>
      </c>
      <c r="B138" s="132">
        <f t="shared" si="50"/>
        <v>0</v>
      </c>
      <c r="C138" s="104">
        <f t="shared" si="48"/>
        <v>0</v>
      </c>
      <c r="D138" s="132">
        <f t="shared" si="53"/>
        <v>0</v>
      </c>
      <c r="E138" s="132">
        <f t="shared" si="54"/>
        <v>0</v>
      </c>
      <c r="F138" s="132">
        <f t="shared" si="55"/>
        <v>0</v>
      </c>
      <c r="G138" s="114">
        <f>IF(SUM(K$27:K137)&gt;0,0,IF(Y138&lt;&gt;"-",$B$3,0))</f>
        <v>0</v>
      </c>
      <c r="H138" s="114">
        <f t="shared" si="56"/>
        <v>0</v>
      </c>
      <c r="I138" s="105">
        <f t="shared" si="42"/>
        <v>0</v>
      </c>
      <c r="J138" s="105">
        <f t="shared" si="57"/>
        <v>0</v>
      </c>
      <c r="K138" s="132">
        <f t="shared" si="51"/>
        <v>0</v>
      </c>
      <c r="L138" s="133">
        <f t="shared" si="52"/>
        <v>0</v>
      </c>
      <c r="M138" s="132">
        <f>IF(SUM(K$28:K138)&gt;0,MIN(O137*(1+B$9)^(1/12),G$25-G138+K138),0)</f>
        <v>0</v>
      </c>
      <c r="N138" s="132">
        <f t="shared" si="58"/>
        <v>0</v>
      </c>
      <c r="O138" s="133">
        <f t="shared" si="59"/>
        <v>0</v>
      </c>
      <c r="P138" s="103">
        <f>SUM(N$27:N138)</f>
        <v>0</v>
      </c>
      <c r="Q138" s="103">
        <f t="shared" si="49"/>
        <v>0</v>
      </c>
      <c r="R138" s="103">
        <f t="shared" si="43"/>
        <v>0</v>
      </c>
      <c r="S138" s="103">
        <f t="shared" si="44"/>
        <v>0</v>
      </c>
      <c r="T138" s="103">
        <f t="shared" si="45"/>
        <v>0</v>
      </c>
      <c r="U138" s="96" t="s">
        <v>67</v>
      </c>
      <c r="V138" s="96" t="str">
        <f t="shared" si="40"/>
        <v>q</v>
      </c>
      <c r="W138" s="96" t="str">
        <f t="shared" si="46"/>
        <v>-</v>
      </c>
      <c r="X138" s="96" t="str">
        <f t="shared" si="47"/>
        <v>-</v>
      </c>
      <c r="Y138" s="107" t="str">
        <f t="shared" si="60"/>
        <v/>
      </c>
      <c r="Z138" s="71"/>
    </row>
    <row r="139" spans="1:26" x14ac:dyDescent="0.2">
      <c r="A139" s="108">
        <v>112</v>
      </c>
      <c r="B139" s="132">
        <f t="shared" si="50"/>
        <v>0</v>
      </c>
      <c r="C139" s="104">
        <f t="shared" si="48"/>
        <v>0</v>
      </c>
      <c r="D139" s="132">
        <f t="shared" si="53"/>
        <v>0</v>
      </c>
      <c r="E139" s="132">
        <f t="shared" si="54"/>
        <v>0</v>
      </c>
      <c r="F139" s="132">
        <f t="shared" si="55"/>
        <v>0</v>
      </c>
      <c r="G139" s="114">
        <f>IF(SUM(K$27:K138)&gt;0,0,IF(Y139&lt;&gt;"-",$B$3,0))</f>
        <v>0</v>
      </c>
      <c r="H139" s="114">
        <f t="shared" si="56"/>
        <v>0</v>
      </c>
      <c r="I139" s="105">
        <f t="shared" si="42"/>
        <v>0</v>
      </c>
      <c r="J139" s="105">
        <f t="shared" si="57"/>
        <v>0</v>
      </c>
      <c r="K139" s="132">
        <f t="shared" si="51"/>
        <v>0</v>
      </c>
      <c r="L139" s="133">
        <f t="shared" si="52"/>
        <v>0</v>
      </c>
      <c r="M139" s="132">
        <f>IF(SUM(K$28:K139)&gt;0,MIN(O138*(1+B$9)^(1/12),G$25-G139+K139),0)</f>
        <v>0</v>
      </c>
      <c r="N139" s="132">
        <f t="shared" si="58"/>
        <v>0</v>
      </c>
      <c r="O139" s="133">
        <f t="shared" si="59"/>
        <v>0</v>
      </c>
      <c r="P139" s="103">
        <f>SUM(N$27:N139)</f>
        <v>0</v>
      </c>
      <c r="Q139" s="103">
        <f t="shared" si="49"/>
        <v>0</v>
      </c>
      <c r="R139" s="103">
        <f t="shared" si="43"/>
        <v>0</v>
      </c>
      <c r="S139" s="103">
        <f t="shared" si="44"/>
        <v>0</v>
      </c>
      <c r="T139" s="103">
        <f t="shared" si="45"/>
        <v>0</v>
      </c>
      <c r="U139" s="96" t="s">
        <v>67</v>
      </c>
      <c r="V139" s="96" t="str">
        <f t="shared" si="40"/>
        <v>-</v>
      </c>
      <c r="W139" s="96" t="str">
        <f t="shared" si="46"/>
        <v>-</v>
      </c>
      <c r="X139" s="96" t="str">
        <f t="shared" si="47"/>
        <v>-</v>
      </c>
      <c r="Y139" s="107" t="str">
        <f t="shared" si="60"/>
        <v/>
      </c>
      <c r="Z139" s="71"/>
    </row>
    <row r="140" spans="1:26" x14ac:dyDescent="0.2">
      <c r="A140" s="108">
        <v>113</v>
      </c>
      <c r="B140" s="132">
        <f t="shared" si="50"/>
        <v>0</v>
      </c>
      <c r="C140" s="104">
        <f t="shared" si="48"/>
        <v>0</v>
      </c>
      <c r="D140" s="132">
        <f t="shared" si="53"/>
        <v>0</v>
      </c>
      <c r="E140" s="132">
        <f t="shared" si="54"/>
        <v>0</v>
      </c>
      <c r="F140" s="132">
        <f t="shared" si="55"/>
        <v>0</v>
      </c>
      <c r="G140" s="114">
        <f>IF(SUM(K$27:K139)&gt;0,0,IF(Y140&lt;&gt;"-",$B$3,0))</f>
        <v>0</v>
      </c>
      <c r="H140" s="114">
        <f t="shared" si="56"/>
        <v>0</v>
      </c>
      <c r="I140" s="105">
        <f t="shared" si="42"/>
        <v>0</v>
      </c>
      <c r="J140" s="105">
        <f t="shared" si="57"/>
        <v>0</v>
      </c>
      <c r="K140" s="132">
        <f t="shared" si="51"/>
        <v>0</v>
      </c>
      <c r="L140" s="133">
        <f t="shared" si="52"/>
        <v>0</v>
      </c>
      <c r="M140" s="132">
        <f>IF(SUM(K$28:K140)&gt;0,MIN(O139*(1+B$9)^(1/12),G$25-G140+K140),0)</f>
        <v>0</v>
      </c>
      <c r="N140" s="132">
        <f t="shared" si="58"/>
        <v>0</v>
      </c>
      <c r="O140" s="133">
        <f t="shared" si="59"/>
        <v>0</v>
      </c>
      <c r="P140" s="103">
        <f>SUM(N$27:N140)</f>
        <v>0</v>
      </c>
      <c r="Q140" s="103">
        <f t="shared" si="49"/>
        <v>0</v>
      </c>
      <c r="R140" s="103">
        <f t="shared" si="43"/>
        <v>0</v>
      </c>
      <c r="S140" s="103">
        <f t="shared" si="44"/>
        <v>0</v>
      </c>
      <c r="T140" s="103">
        <f t="shared" si="45"/>
        <v>0</v>
      </c>
      <c r="U140" s="96" t="s">
        <v>67</v>
      </c>
      <c r="V140" s="96" t="str">
        <f t="shared" si="40"/>
        <v>-</v>
      </c>
      <c r="W140" s="96" t="str">
        <f t="shared" si="46"/>
        <v>-</v>
      </c>
      <c r="X140" s="96" t="str">
        <f t="shared" si="47"/>
        <v>-</v>
      </c>
      <c r="Y140" s="107" t="str">
        <f t="shared" si="60"/>
        <v/>
      </c>
      <c r="Z140" s="71"/>
    </row>
    <row r="141" spans="1:26" x14ac:dyDescent="0.2">
      <c r="A141" s="108">
        <v>114</v>
      </c>
      <c r="B141" s="132">
        <f t="shared" si="50"/>
        <v>0</v>
      </c>
      <c r="C141" s="104">
        <f t="shared" si="48"/>
        <v>0</v>
      </c>
      <c r="D141" s="132">
        <f t="shared" si="53"/>
        <v>0</v>
      </c>
      <c r="E141" s="132">
        <f t="shared" si="54"/>
        <v>0</v>
      </c>
      <c r="F141" s="132">
        <f t="shared" si="55"/>
        <v>0</v>
      </c>
      <c r="G141" s="114">
        <f>IF(SUM(K$27:K140)&gt;0,0,IF(Y141&lt;&gt;"-",$B$3,0))</f>
        <v>0</v>
      </c>
      <c r="H141" s="114">
        <f t="shared" si="56"/>
        <v>0</v>
      </c>
      <c r="I141" s="105">
        <f t="shared" si="42"/>
        <v>0</v>
      </c>
      <c r="J141" s="105">
        <f t="shared" si="57"/>
        <v>0</v>
      </c>
      <c r="K141" s="132">
        <f t="shared" si="51"/>
        <v>0</v>
      </c>
      <c r="L141" s="133">
        <f t="shared" si="52"/>
        <v>0</v>
      </c>
      <c r="M141" s="132">
        <f>IF(SUM(K$28:K141)&gt;0,MIN(O140*(1+B$9)^(1/12),G$25-G141+K141),0)</f>
        <v>0</v>
      </c>
      <c r="N141" s="132">
        <f t="shared" si="58"/>
        <v>0</v>
      </c>
      <c r="O141" s="133">
        <f t="shared" si="59"/>
        <v>0</v>
      </c>
      <c r="P141" s="103">
        <f>SUM(N$27:N141)</f>
        <v>0</v>
      </c>
      <c r="Q141" s="103">
        <f t="shared" si="49"/>
        <v>0</v>
      </c>
      <c r="R141" s="103">
        <f t="shared" si="43"/>
        <v>0</v>
      </c>
      <c r="S141" s="103">
        <f t="shared" si="44"/>
        <v>0</v>
      </c>
      <c r="T141" s="103">
        <f t="shared" si="45"/>
        <v>0</v>
      </c>
      <c r="U141" s="96" t="s">
        <v>67</v>
      </c>
      <c r="V141" s="96" t="str">
        <f t="shared" si="40"/>
        <v>q</v>
      </c>
      <c r="W141" s="96" t="str">
        <f t="shared" si="46"/>
        <v>s</v>
      </c>
      <c r="X141" s="96" t="str">
        <f t="shared" si="47"/>
        <v>-</v>
      </c>
      <c r="Y141" s="107" t="str">
        <f t="shared" si="60"/>
        <v/>
      </c>
      <c r="Z141" s="71"/>
    </row>
    <row r="142" spans="1:26" x14ac:dyDescent="0.2">
      <c r="A142" s="108">
        <v>115</v>
      </c>
      <c r="B142" s="132">
        <f t="shared" si="50"/>
        <v>0</v>
      </c>
      <c r="C142" s="104">
        <f t="shared" si="48"/>
        <v>0</v>
      </c>
      <c r="D142" s="132">
        <f t="shared" si="53"/>
        <v>0</v>
      </c>
      <c r="E142" s="132">
        <f t="shared" si="54"/>
        <v>0</v>
      </c>
      <c r="F142" s="132">
        <f t="shared" si="55"/>
        <v>0</v>
      </c>
      <c r="G142" s="114">
        <f>IF(SUM(K$27:K141)&gt;0,0,IF(Y142&lt;&gt;"-",$B$3,0))</f>
        <v>0</v>
      </c>
      <c r="H142" s="114">
        <f t="shared" si="56"/>
        <v>0</v>
      </c>
      <c r="I142" s="105">
        <f t="shared" si="42"/>
        <v>0</v>
      </c>
      <c r="J142" s="105">
        <f t="shared" si="57"/>
        <v>0</v>
      </c>
      <c r="K142" s="132">
        <f t="shared" si="51"/>
        <v>0</v>
      </c>
      <c r="L142" s="133">
        <f t="shared" si="52"/>
        <v>0</v>
      </c>
      <c r="M142" s="132">
        <f>IF(SUM(K$28:K142)&gt;0,MIN(O141*(1+B$9)^(1/12),G$25-G142+K142),0)</f>
        <v>0</v>
      </c>
      <c r="N142" s="132">
        <f t="shared" si="58"/>
        <v>0</v>
      </c>
      <c r="O142" s="133">
        <f t="shared" si="59"/>
        <v>0</v>
      </c>
      <c r="P142" s="103">
        <f>SUM(N$27:N142)</f>
        <v>0</v>
      </c>
      <c r="Q142" s="103">
        <f t="shared" si="49"/>
        <v>0</v>
      </c>
      <c r="R142" s="103">
        <f t="shared" si="43"/>
        <v>0</v>
      </c>
      <c r="S142" s="103">
        <f t="shared" si="44"/>
        <v>0</v>
      </c>
      <c r="T142" s="103">
        <f t="shared" si="45"/>
        <v>0</v>
      </c>
      <c r="U142" s="96" t="s">
        <v>67</v>
      </c>
      <c r="V142" s="96" t="str">
        <f t="shared" si="40"/>
        <v>-</v>
      </c>
      <c r="W142" s="96" t="str">
        <f t="shared" si="46"/>
        <v>-</v>
      </c>
      <c r="X142" s="96" t="str">
        <f t="shared" si="47"/>
        <v>-</v>
      </c>
      <c r="Y142" s="107" t="str">
        <f t="shared" si="60"/>
        <v/>
      </c>
      <c r="Z142" s="71"/>
    </row>
    <row r="143" spans="1:26" x14ac:dyDescent="0.2">
      <c r="A143" s="108">
        <v>116</v>
      </c>
      <c r="B143" s="132">
        <f t="shared" si="50"/>
        <v>0</v>
      </c>
      <c r="C143" s="104">
        <f t="shared" si="48"/>
        <v>0</v>
      </c>
      <c r="D143" s="132">
        <f t="shared" si="53"/>
        <v>0</v>
      </c>
      <c r="E143" s="132">
        <f t="shared" si="54"/>
        <v>0</v>
      </c>
      <c r="F143" s="132">
        <f t="shared" si="55"/>
        <v>0</v>
      </c>
      <c r="G143" s="114">
        <f>IF(SUM(K$27:K142)&gt;0,0,IF(Y143&lt;&gt;"-",$B$3,0))</f>
        <v>0</v>
      </c>
      <c r="H143" s="114">
        <f t="shared" si="56"/>
        <v>0</v>
      </c>
      <c r="I143" s="105">
        <f t="shared" si="42"/>
        <v>0</v>
      </c>
      <c r="J143" s="105">
        <f t="shared" si="57"/>
        <v>0</v>
      </c>
      <c r="K143" s="132">
        <f t="shared" si="51"/>
        <v>0</v>
      </c>
      <c r="L143" s="133">
        <f t="shared" si="52"/>
        <v>0</v>
      </c>
      <c r="M143" s="132">
        <f>IF(SUM(K$28:K143)&gt;0,MIN(O142*(1+B$9)^(1/12),G$25-G143+K143),0)</f>
        <v>0</v>
      </c>
      <c r="N143" s="132">
        <f t="shared" si="58"/>
        <v>0</v>
      </c>
      <c r="O143" s="133">
        <f t="shared" si="59"/>
        <v>0</v>
      </c>
      <c r="P143" s="103">
        <f>SUM(N$27:N143)</f>
        <v>0</v>
      </c>
      <c r="Q143" s="103">
        <f t="shared" si="49"/>
        <v>0</v>
      </c>
      <c r="R143" s="103">
        <f>R142+G143</f>
        <v>0</v>
      </c>
      <c r="S143" s="103">
        <f t="shared" si="44"/>
        <v>0</v>
      </c>
      <c r="T143" s="103">
        <f t="shared" si="45"/>
        <v>0</v>
      </c>
      <c r="U143" s="96" t="s">
        <v>67</v>
      </c>
      <c r="V143" s="96" t="str">
        <f t="shared" si="40"/>
        <v>-</v>
      </c>
      <c r="W143" s="96" t="str">
        <f t="shared" si="46"/>
        <v>-</v>
      </c>
      <c r="X143" s="96" t="str">
        <f t="shared" si="47"/>
        <v>-</v>
      </c>
      <c r="Y143" s="107" t="str">
        <f t="shared" si="60"/>
        <v/>
      </c>
      <c r="Z143" s="71"/>
    </row>
    <row r="144" spans="1:26" x14ac:dyDescent="0.2">
      <c r="A144" s="108">
        <v>117</v>
      </c>
      <c r="B144" s="132">
        <f t="shared" si="50"/>
        <v>0</v>
      </c>
      <c r="C144" s="104">
        <f t="shared" si="48"/>
        <v>0</v>
      </c>
      <c r="D144" s="132">
        <f t="shared" si="53"/>
        <v>0</v>
      </c>
      <c r="E144" s="132">
        <f t="shared" si="54"/>
        <v>0</v>
      </c>
      <c r="F144" s="132">
        <f t="shared" si="55"/>
        <v>0</v>
      </c>
      <c r="G144" s="114">
        <f>IF(SUM(K$27:K143)&gt;0,0,IF(Y144&lt;&gt;"-",$B$3,0))</f>
        <v>0</v>
      </c>
      <c r="H144" s="114">
        <f t="shared" si="56"/>
        <v>0</v>
      </c>
      <c r="I144" s="105">
        <f t="shared" si="42"/>
        <v>0</v>
      </c>
      <c r="J144" s="105">
        <f t="shared" si="57"/>
        <v>0</v>
      </c>
      <c r="K144" s="132">
        <f t="shared" si="51"/>
        <v>0</v>
      </c>
      <c r="L144" s="133">
        <f t="shared" si="52"/>
        <v>0</v>
      </c>
      <c r="M144" s="132">
        <f>IF(SUM(K$28:K144)&gt;0,MIN(O143*(1+B$9)^(1/12),G$25-G144+K144),0)</f>
        <v>0</v>
      </c>
      <c r="N144" s="132">
        <f t="shared" si="58"/>
        <v>0</v>
      </c>
      <c r="O144" s="133">
        <f t="shared" si="59"/>
        <v>0</v>
      </c>
      <c r="P144" s="103">
        <f>SUM(N$27:N144)</f>
        <v>0</v>
      </c>
      <c r="Q144" s="103">
        <f t="shared" si="49"/>
        <v>0</v>
      </c>
      <c r="R144" s="103">
        <f t="shared" si="43"/>
        <v>0</v>
      </c>
      <c r="S144" s="103">
        <f t="shared" si="44"/>
        <v>0</v>
      </c>
      <c r="T144" s="103">
        <f t="shared" si="45"/>
        <v>0</v>
      </c>
      <c r="U144" s="96" t="s">
        <v>67</v>
      </c>
      <c r="V144" s="96" t="str">
        <f t="shared" si="40"/>
        <v>q</v>
      </c>
      <c r="W144" s="96" t="str">
        <f t="shared" si="46"/>
        <v>-</v>
      </c>
      <c r="X144" s="96" t="str">
        <f t="shared" si="47"/>
        <v>-</v>
      </c>
      <c r="Y144" s="107" t="str">
        <f t="shared" si="60"/>
        <v/>
      </c>
      <c r="Z144" s="71"/>
    </row>
    <row r="145" spans="1:26" x14ac:dyDescent="0.2">
      <c r="A145" s="108">
        <v>118</v>
      </c>
      <c r="B145" s="132">
        <f t="shared" si="50"/>
        <v>0</v>
      </c>
      <c r="C145" s="104">
        <f t="shared" si="48"/>
        <v>0</v>
      </c>
      <c r="D145" s="132">
        <f t="shared" si="53"/>
        <v>0</v>
      </c>
      <c r="E145" s="132">
        <f t="shared" si="54"/>
        <v>0</v>
      </c>
      <c r="F145" s="132">
        <f t="shared" si="55"/>
        <v>0</v>
      </c>
      <c r="G145" s="114">
        <f>IF(SUM(K$27:K144)&gt;0,0,IF(Y145&lt;&gt;"-",$B$3,0))</f>
        <v>0</v>
      </c>
      <c r="H145" s="114">
        <f t="shared" si="56"/>
        <v>0</v>
      </c>
      <c r="I145" s="105">
        <f t="shared" si="42"/>
        <v>0</v>
      </c>
      <c r="J145" s="105">
        <f t="shared" si="57"/>
        <v>0</v>
      </c>
      <c r="K145" s="132">
        <f t="shared" si="51"/>
        <v>0</v>
      </c>
      <c r="L145" s="133">
        <f t="shared" si="52"/>
        <v>0</v>
      </c>
      <c r="M145" s="132">
        <f>IF(SUM(K$28:K145)&gt;0,MIN(O144*(1+B$9)^(1/12),G$25-G145+K145),0)</f>
        <v>0</v>
      </c>
      <c r="N145" s="132">
        <f t="shared" si="58"/>
        <v>0</v>
      </c>
      <c r="O145" s="133">
        <f t="shared" si="59"/>
        <v>0</v>
      </c>
      <c r="P145" s="103">
        <f>SUM(N$27:N145)</f>
        <v>0</v>
      </c>
      <c r="Q145" s="103">
        <f t="shared" si="49"/>
        <v>0</v>
      </c>
      <c r="R145" s="103">
        <f t="shared" si="43"/>
        <v>0</v>
      </c>
      <c r="S145" s="103">
        <f t="shared" si="44"/>
        <v>0</v>
      </c>
      <c r="T145" s="103">
        <f t="shared" si="45"/>
        <v>0</v>
      </c>
      <c r="U145" s="96" t="s">
        <v>67</v>
      </c>
      <c r="V145" s="96" t="str">
        <f t="shared" si="40"/>
        <v>-</v>
      </c>
      <c r="W145" s="96" t="str">
        <f t="shared" si="46"/>
        <v>-</v>
      </c>
      <c r="X145" s="96" t="str">
        <f t="shared" si="47"/>
        <v>-</v>
      </c>
      <c r="Y145" s="107" t="str">
        <f t="shared" si="60"/>
        <v/>
      </c>
      <c r="Z145" s="71"/>
    </row>
    <row r="146" spans="1:26" x14ac:dyDescent="0.2">
      <c r="A146" s="108">
        <v>119</v>
      </c>
      <c r="B146" s="132">
        <f>G146+H146-D146-K146</f>
        <v>0</v>
      </c>
      <c r="C146" s="104">
        <f t="shared" si="48"/>
        <v>0</v>
      </c>
      <c r="D146" s="132">
        <f t="shared" si="53"/>
        <v>0</v>
      </c>
      <c r="E146" s="132">
        <f t="shared" si="54"/>
        <v>0</v>
      </c>
      <c r="F146" s="132">
        <f t="shared" si="55"/>
        <v>0</v>
      </c>
      <c r="G146" s="114">
        <f>IF(SUM(K$27:K145)&gt;0,0,IF(Y146&lt;&gt;"-",$B$3,0))</f>
        <v>0</v>
      </c>
      <c r="H146" s="114">
        <f t="shared" si="56"/>
        <v>0</v>
      </c>
      <c r="I146" s="105">
        <f t="shared" si="42"/>
        <v>0</v>
      </c>
      <c r="J146" s="105">
        <f t="shared" si="57"/>
        <v>0</v>
      </c>
      <c r="K146" s="132">
        <f t="shared" si="51"/>
        <v>0</v>
      </c>
      <c r="L146" s="133">
        <f t="shared" si="52"/>
        <v>0</v>
      </c>
      <c r="M146" s="132">
        <f>IF(SUM(K$28:K146)&gt;0,MIN(O145*(1+B$9)^(1/12),G$25-G146+K146),0)</f>
        <v>0</v>
      </c>
      <c r="N146" s="132">
        <f t="shared" si="58"/>
        <v>0</v>
      </c>
      <c r="O146" s="133">
        <f t="shared" si="59"/>
        <v>0</v>
      </c>
      <c r="P146" s="103">
        <f>SUM(N$27:N146)</f>
        <v>0</v>
      </c>
      <c r="Q146" s="103">
        <f t="shared" si="49"/>
        <v>0</v>
      </c>
      <c r="R146" s="103">
        <f t="shared" si="43"/>
        <v>0</v>
      </c>
      <c r="S146" s="103">
        <f t="shared" si="44"/>
        <v>0</v>
      </c>
      <c r="T146" s="103">
        <f t="shared" si="45"/>
        <v>0</v>
      </c>
      <c r="U146" s="96" t="s">
        <v>67</v>
      </c>
      <c r="V146" s="96" t="str">
        <f t="shared" si="40"/>
        <v>-</v>
      </c>
      <c r="W146" s="96" t="str">
        <f t="shared" si="46"/>
        <v>-</v>
      </c>
      <c r="X146" s="96" t="str">
        <f t="shared" si="47"/>
        <v>-</v>
      </c>
      <c r="Y146" s="107" t="str">
        <f t="shared" si="60"/>
        <v/>
      </c>
      <c r="Z146" s="71"/>
    </row>
    <row r="147" spans="1:26" x14ac:dyDescent="0.2">
      <c r="A147" s="110">
        <v>120</v>
      </c>
      <c r="B147" s="111">
        <f>L147+G147+H147-D147-K147</f>
        <v>0</v>
      </c>
      <c r="C147" s="111">
        <f t="shared" si="48"/>
        <v>0</v>
      </c>
      <c r="D147" s="111">
        <f t="shared" si="53"/>
        <v>0</v>
      </c>
      <c r="E147" s="111">
        <f t="shared" si="54"/>
        <v>0</v>
      </c>
      <c r="F147" s="111">
        <f t="shared" si="55"/>
        <v>0</v>
      </c>
      <c r="G147" s="112">
        <f>IF(SUM(K$27:K146)&gt;0,0,IF(Y147&lt;&gt;"-",$B$3,0))</f>
        <v>0</v>
      </c>
      <c r="H147" s="112">
        <f t="shared" si="56"/>
        <v>0</v>
      </c>
      <c r="I147" s="112">
        <f t="shared" si="42"/>
        <v>0</v>
      </c>
      <c r="J147" s="112">
        <f t="shared" si="57"/>
        <v>0</v>
      </c>
      <c r="K147" s="111">
        <f t="shared" si="51"/>
        <v>0</v>
      </c>
      <c r="L147" s="113">
        <f t="shared" si="52"/>
        <v>0</v>
      </c>
      <c r="M147" s="111">
        <f>IF(SUM(K$28:K147)&gt;0,MIN(O146*(1+B$9)^(1/12),G$25-G147+K147),0)</f>
        <v>0</v>
      </c>
      <c r="N147" s="111">
        <f t="shared" si="58"/>
        <v>0</v>
      </c>
      <c r="O147" s="113">
        <f t="shared" si="59"/>
        <v>0</v>
      </c>
      <c r="P147" s="111">
        <f>SUM(N$27:N147)</f>
        <v>0</v>
      </c>
      <c r="Q147" s="111">
        <f t="shared" si="49"/>
        <v>0</v>
      </c>
      <c r="R147" s="111">
        <f t="shared" si="43"/>
        <v>0</v>
      </c>
      <c r="S147" s="111">
        <f t="shared" si="44"/>
        <v>0</v>
      </c>
      <c r="T147" s="111">
        <f t="shared" si="45"/>
        <v>0</v>
      </c>
      <c r="U147" s="101" t="s">
        <v>67</v>
      </c>
      <c r="V147" s="101" t="str">
        <f t="shared" si="40"/>
        <v>q</v>
      </c>
      <c r="W147" s="101" t="str">
        <f t="shared" si="46"/>
        <v>s</v>
      </c>
      <c r="X147" s="101" t="str">
        <f t="shared" si="47"/>
        <v>a</v>
      </c>
      <c r="Y147" s="107" t="str">
        <f t="shared" si="60"/>
        <v/>
      </c>
      <c r="Z147" s="71"/>
    </row>
    <row r="148" spans="1:26" x14ac:dyDescent="0.2">
      <c r="A148" s="136"/>
      <c r="B148" s="136"/>
      <c r="C148" s="136"/>
      <c r="D148" s="136"/>
      <c r="E148" s="136"/>
      <c r="F148" s="136"/>
      <c r="G148" s="136"/>
      <c r="H148" s="136"/>
      <c r="I148" s="136"/>
      <c r="J148" s="136"/>
      <c r="K148" s="136"/>
      <c r="L148" s="136"/>
      <c r="M148" s="137"/>
      <c r="N148" s="115"/>
      <c r="O148" s="136"/>
      <c r="P148" s="136"/>
      <c r="Q148" s="136"/>
      <c r="R148" s="136"/>
      <c r="S148" s="136"/>
      <c r="T148" s="136"/>
      <c r="U148" s="136"/>
      <c r="V148" s="136"/>
      <c r="W148" s="136"/>
      <c r="X148" s="136"/>
      <c r="Y148" s="136"/>
      <c r="Z148" s="71"/>
    </row>
    <row r="149" spans="1:26" x14ac:dyDescent="0.2">
      <c r="A149" s="71"/>
      <c r="B149" s="71"/>
      <c r="C149" s="71"/>
      <c r="D149" s="71"/>
      <c r="E149" s="71"/>
      <c r="F149" s="71"/>
      <c r="G149" s="71"/>
      <c r="H149" s="71"/>
      <c r="I149" s="71"/>
      <c r="J149" s="71"/>
      <c r="K149" s="71"/>
      <c r="L149" s="71"/>
      <c r="M149" s="138"/>
      <c r="N149" s="71"/>
      <c r="O149" s="71"/>
      <c r="P149" s="71"/>
      <c r="Q149" s="139"/>
      <c r="R149" s="71"/>
      <c r="S149" s="71"/>
      <c r="T149" s="71"/>
      <c r="U149" s="71"/>
      <c r="V149" s="71"/>
      <c r="W149" s="71"/>
      <c r="X149" s="71"/>
      <c r="Y149" s="71"/>
      <c r="Z149" s="71"/>
    </row>
    <row r="150" spans="1:26" x14ac:dyDescent="0.2">
      <c r="A150" s="71"/>
      <c r="B150" s="71"/>
      <c r="C150" s="71"/>
      <c r="D150" s="71"/>
      <c r="E150" s="71"/>
      <c r="F150" s="71"/>
      <c r="G150" s="71"/>
      <c r="H150" s="71"/>
      <c r="I150" s="71"/>
      <c r="J150" s="71"/>
      <c r="K150" s="71"/>
      <c r="L150" s="71"/>
      <c r="M150" s="138"/>
      <c r="N150" s="71"/>
      <c r="O150" s="71"/>
      <c r="P150" s="71"/>
      <c r="Q150" s="139"/>
      <c r="R150" s="71"/>
      <c r="S150" s="71"/>
      <c r="T150" s="71"/>
      <c r="U150" s="71"/>
      <c r="V150" s="71"/>
      <c r="W150" s="71"/>
      <c r="X150" s="71"/>
      <c r="Y150" s="71"/>
      <c r="Z150" s="71"/>
    </row>
    <row r="151" spans="1:26" x14ac:dyDescent="0.2">
      <c r="A151" s="71"/>
      <c r="B151" s="71"/>
      <c r="C151" s="71"/>
      <c r="D151" s="71"/>
      <c r="E151" s="71"/>
      <c r="F151" s="71"/>
      <c r="G151" s="71"/>
      <c r="H151" s="71"/>
      <c r="I151" s="71"/>
      <c r="J151" s="71"/>
      <c r="K151" s="71"/>
      <c r="L151" s="71"/>
      <c r="M151" s="138"/>
      <c r="N151" s="71"/>
      <c r="O151" s="71"/>
      <c r="P151" s="71"/>
      <c r="Q151" s="139"/>
      <c r="R151" s="71"/>
      <c r="S151" s="71"/>
      <c r="T151" s="71"/>
      <c r="U151" s="71"/>
      <c r="V151" s="71"/>
      <c r="W151" s="71"/>
      <c r="X151" s="71"/>
      <c r="Y151" s="71"/>
      <c r="Z151" s="71"/>
    </row>
    <row r="152" spans="1:26" x14ac:dyDescent="0.2">
      <c r="A152" s="71"/>
      <c r="B152" s="71"/>
      <c r="C152" s="71"/>
      <c r="D152" s="71"/>
      <c r="E152" s="71"/>
      <c r="F152" s="71"/>
      <c r="G152" s="71"/>
      <c r="H152" s="71"/>
      <c r="I152" s="71"/>
      <c r="J152" s="71"/>
      <c r="K152" s="71"/>
      <c r="L152" s="71"/>
      <c r="M152" s="138"/>
      <c r="N152" s="71"/>
      <c r="O152" s="71"/>
      <c r="P152" s="71"/>
      <c r="Q152" s="139"/>
      <c r="R152" s="71"/>
      <c r="S152" s="71"/>
      <c r="T152" s="71"/>
      <c r="U152" s="71"/>
      <c r="V152" s="71"/>
      <c r="W152" s="71"/>
      <c r="X152" s="71"/>
      <c r="Y152" s="71"/>
      <c r="Z152" s="71"/>
    </row>
    <row r="153" spans="1:26" x14ac:dyDescent="0.2">
      <c r="A153" s="71"/>
      <c r="B153" s="71"/>
      <c r="C153" s="71"/>
      <c r="D153" s="71"/>
      <c r="E153" s="71"/>
      <c r="F153" s="71"/>
      <c r="G153" s="71"/>
      <c r="H153" s="71"/>
      <c r="I153" s="71"/>
      <c r="J153" s="71"/>
      <c r="K153" s="71"/>
      <c r="L153" s="71"/>
      <c r="M153" s="138"/>
      <c r="N153" s="71"/>
      <c r="O153" s="71"/>
      <c r="P153" s="71"/>
      <c r="Q153" s="139"/>
      <c r="R153" s="71"/>
      <c r="S153" s="71"/>
      <c r="T153" s="71"/>
      <c r="U153" s="71"/>
      <c r="V153" s="71"/>
      <c r="W153" s="71"/>
      <c r="X153" s="71"/>
      <c r="Y153" s="71"/>
      <c r="Z153" s="71"/>
    </row>
    <row r="154" spans="1:26" x14ac:dyDescent="0.2">
      <c r="A154" s="71"/>
      <c r="B154" s="71"/>
      <c r="C154" s="71"/>
      <c r="D154" s="71"/>
      <c r="E154" s="71"/>
      <c r="F154" s="71"/>
      <c r="G154" s="71"/>
      <c r="H154" s="71"/>
      <c r="I154" s="71"/>
      <c r="J154" s="71"/>
      <c r="K154" s="71"/>
      <c r="L154" s="71"/>
      <c r="M154" s="138"/>
      <c r="N154" s="71"/>
      <c r="O154" s="71"/>
      <c r="P154" s="71"/>
      <c r="Q154" s="139"/>
      <c r="R154" s="71"/>
      <c r="S154" s="71"/>
      <c r="T154" s="71"/>
      <c r="U154" s="71"/>
      <c r="V154" s="71"/>
      <c r="W154" s="71"/>
      <c r="X154" s="71"/>
      <c r="Y154" s="71"/>
      <c r="Z154" s="71"/>
    </row>
    <row r="155" spans="1:26" x14ac:dyDescent="0.2">
      <c r="A155" s="71"/>
      <c r="B155" s="71"/>
      <c r="C155" s="71"/>
      <c r="D155" s="71"/>
      <c r="E155" s="71"/>
      <c r="F155" s="71"/>
      <c r="G155" s="71"/>
      <c r="H155" s="71"/>
      <c r="I155" s="71"/>
      <c r="J155" s="71"/>
      <c r="K155" s="71"/>
      <c r="L155" s="71"/>
      <c r="M155" s="138"/>
      <c r="N155" s="71"/>
      <c r="O155" s="71"/>
      <c r="P155" s="71"/>
      <c r="Q155" s="139"/>
      <c r="R155" s="71"/>
      <c r="S155" s="71"/>
      <c r="T155" s="71"/>
      <c r="U155" s="71"/>
      <c r="V155" s="71"/>
      <c r="W155" s="71"/>
      <c r="X155" s="71"/>
      <c r="Y155" s="71"/>
      <c r="Z155" s="71"/>
    </row>
    <row r="156" spans="1:26" x14ac:dyDescent="0.2">
      <c r="A156" s="71"/>
      <c r="B156" s="71"/>
      <c r="C156" s="71"/>
      <c r="D156" s="71"/>
      <c r="E156" s="71"/>
      <c r="F156" s="71"/>
      <c r="G156" s="71"/>
      <c r="H156" s="71"/>
      <c r="I156" s="71"/>
      <c r="J156" s="71"/>
      <c r="K156" s="71"/>
      <c r="L156" s="71"/>
      <c r="M156" s="138"/>
      <c r="N156" s="71"/>
      <c r="O156" s="71"/>
      <c r="P156" s="71"/>
      <c r="Q156" s="139"/>
      <c r="R156" s="71"/>
      <c r="S156" s="71"/>
      <c r="T156" s="71"/>
      <c r="U156" s="71"/>
      <c r="V156" s="71"/>
      <c r="W156" s="71"/>
      <c r="X156" s="71"/>
      <c r="Y156" s="71"/>
      <c r="Z156" s="71"/>
    </row>
    <row r="157" spans="1:26" x14ac:dyDescent="0.2">
      <c r="A157" s="71"/>
      <c r="B157" s="71"/>
      <c r="C157" s="71"/>
      <c r="D157" s="71"/>
      <c r="E157" s="71"/>
      <c r="F157" s="71"/>
      <c r="G157" s="71"/>
      <c r="H157" s="71"/>
      <c r="I157" s="71"/>
      <c r="J157" s="71"/>
      <c r="K157" s="71"/>
      <c r="L157" s="71"/>
      <c r="M157" s="138"/>
      <c r="N157" s="71"/>
      <c r="O157" s="71"/>
      <c r="P157" s="71"/>
      <c r="Q157" s="139"/>
      <c r="R157" s="71"/>
      <c r="S157" s="71"/>
      <c r="T157" s="71"/>
      <c r="U157" s="71"/>
      <c r="V157" s="71"/>
      <c r="W157" s="71"/>
      <c r="X157" s="71"/>
      <c r="Y157" s="71"/>
      <c r="Z157" s="71"/>
    </row>
    <row r="158" spans="1:26" x14ac:dyDescent="0.2">
      <c r="A158" s="71"/>
      <c r="B158" s="71"/>
      <c r="C158" s="71"/>
      <c r="D158" s="71"/>
      <c r="E158" s="71"/>
      <c r="F158" s="71"/>
      <c r="G158" s="71"/>
      <c r="H158" s="71"/>
      <c r="I158" s="71"/>
      <c r="J158" s="71"/>
      <c r="K158" s="71"/>
      <c r="L158" s="71"/>
      <c r="M158" s="138"/>
      <c r="N158" s="71"/>
      <c r="O158" s="71"/>
      <c r="P158" s="71"/>
      <c r="Q158" s="139"/>
      <c r="R158" s="71"/>
      <c r="S158" s="71"/>
      <c r="T158" s="71"/>
      <c r="U158" s="71"/>
      <c r="V158" s="71"/>
      <c r="W158" s="71"/>
      <c r="X158" s="71"/>
      <c r="Y158" s="71"/>
      <c r="Z158" s="71"/>
    </row>
    <row r="159" spans="1:26" x14ac:dyDescent="0.2">
      <c r="A159" s="71"/>
      <c r="B159" s="71"/>
      <c r="C159" s="71"/>
      <c r="D159" s="71"/>
      <c r="E159" s="71"/>
      <c r="F159" s="71"/>
      <c r="G159" s="71"/>
      <c r="H159" s="71"/>
      <c r="I159" s="71"/>
      <c r="J159" s="71"/>
      <c r="K159" s="71"/>
      <c r="L159" s="71"/>
      <c r="M159" s="138"/>
      <c r="N159" s="71"/>
      <c r="O159" s="71"/>
      <c r="P159" s="71"/>
      <c r="Q159" s="139"/>
      <c r="R159" s="71"/>
      <c r="S159" s="71"/>
      <c r="T159" s="71"/>
      <c r="U159" s="71"/>
      <c r="V159" s="71"/>
      <c r="W159" s="71"/>
      <c r="X159" s="71"/>
      <c r="Y159" s="71"/>
      <c r="Z159" s="71"/>
    </row>
    <row r="160" spans="1:26" x14ac:dyDescent="0.2">
      <c r="A160" s="71"/>
      <c r="B160" s="71"/>
      <c r="C160" s="71"/>
      <c r="D160" s="71"/>
      <c r="E160" s="71"/>
      <c r="F160" s="71"/>
      <c r="G160" s="71"/>
      <c r="H160" s="71"/>
      <c r="I160" s="71"/>
      <c r="J160" s="71"/>
      <c r="K160" s="71"/>
      <c r="L160" s="71"/>
      <c r="M160" s="138"/>
      <c r="N160" s="71"/>
      <c r="O160" s="71"/>
      <c r="P160" s="71"/>
      <c r="Q160" s="139"/>
      <c r="R160" s="71"/>
      <c r="S160" s="71"/>
      <c r="T160" s="71"/>
      <c r="U160" s="71"/>
      <c r="V160" s="71"/>
      <c r="W160" s="71"/>
      <c r="X160" s="71"/>
      <c r="Y160" s="71"/>
      <c r="Z160" s="71"/>
    </row>
    <row r="161" spans="1:26" x14ac:dyDescent="0.2">
      <c r="A161" s="71"/>
      <c r="B161" s="71"/>
      <c r="C161" s="71"/>
      <c r="D161" s="71"/>
      <c r="E161" s="71"/>
      <c r="F161" s="71"/>
      <c r="G161" s="71"/>
      <c r="H161" s="71"/>
      <c r="I161" s="71"/>
      <c r="J161" s="71"/>
      <c r="K161" s="71"/>
      <c r="L161" s="71"/>
      <c r="M161" s="138"/>
      <c r="N161" s="71"/>
      <c r="O161" s="71"/>
      <c r="P161" s="71"/>
      <c r="Q161" s="139"/>
      <c r="R161" s="71"/>
      <c r="S161" s="71"/>
      <c r="T161" s="71"/>
      <c r="U161" s="71"/>
      <c r="V161" s="71"/>
      <c r="W161" s="71"/>
      <c r="X161" s="71"/>
      <c r="Y161" s="71"/>
      <c r="Z161" s="71"/>
    </row>
    <row r="162" spans="1:26" x14ac:dyDescent="0.2">
      <c r="A162" s="71"/>
      <c r="B162" s="71"/>
      <c r="C162" s="71"/>
      <c r="D162" s="71"/>
      <c r="E162" s="71"/>
      <c r="F162" s="71"/>
      <c r="G162" s="71"/>
      <c r="H162" s="71"/>
      <c r="I162" s="71"/>
      <c r="J162" s="71"/>
      <c r="K162" s="71"/>
      <c r="L162" s="71"/>
      <c r="M162" s="138"/>
      <c r="N162" s="71"/>
      <c r="O162" s="71"/>
      <c r="P162" s="71"/>
      <c r="Q162" s="139"/>
      <c r="R162" s="71"/>
      <c r="S162" s="71"/>
      <c r="T162" s="71"/>
      <c r="U162" s="71"/>
      <c r="V162" s="71"/>
      <c r="W162" s="71"/>
      <c r="X162" s="71"/>
      <c r="Y162" s="71"/>
      <c r="Z162" s="71"/>
    </row>
    <row r="163" spans="1:26" x14ac:dyDescent="0.2">
      <c r="A163" s="71"/>
      <c r="B163" s="71"/>
      <c r="C163" s="71"/>
      <c r="D163" s="71"/>
      <c r="E163" s="71"/>
      <c r="F163" s="71"/>
      <c r="G163" s="71"/>
      <c r="H163" s="71"/>
      <c r="I163" s="71"/>
      <c r="J163" s="71"/>
      <c r="K163" s="71"/>
      <c r="L163" s="71"/>
      <c r="M163" s="138"/>
      <c r="N163" s="71"/>
      <c r="O163" s="71"/>
      <c r="P163" s="71"/>
      <c r="Q163" s="139"/>
      <c r="R163" s="71"/>
      <c r="S163" s="71"/>
      <c r="T163" s="71"/>
      <c r="U163" s="71"/>
      <c r="V163" s="71"/>
      <c r="W163" s="71"/>
      <c r="X163" s="71"/>
      <c r="Y163" s="71"/>
      <c r="Z163" s="71"/>
    </row>
    <row r="164" spans="1:26" x14ac:dyDescent="0.2">
      <c r="A164" s="71"/>
      <c r="B164" s="71"/>
      <c r="C164" s="71"/>
      <c r="D164" s="71"/>
      <c r="E164" s="71"/>
      <c r="F164" s="71"/>
      <c r="G164" s="71"/>
      <c r="H164" s="71"/>
      <c r="I164" s="71"/>
      <c r="J164" s="71"/>
      <c r="K164" s="71"/>
      <c r="L164" s="71"/>
      <c r="M164" s="138"/>
      <c r="N164" s="71"/>
      <c r="O164" s="71"/>
      <c r="P164" s="71"/>
      <c r="Q164" s="139"/>
      <c r="R164" s="71"/>
      <c r="S164" s="71"/>
      <c r="T164" s="71"/>
      <c r="U164" s="71"/>
      <c r="V164" s="71"/>
      <c r="W164" s="71"/>
      <c r="X164" s="71"/>
      <c r="Y164" s="71"/>
      <c r="Z164" s="71"/>
    </row>
    <row r="165" spans="1:26" x14ac:dyDescent="0.2">
      <c r="A165" s="71"/>
      <c r="B165" s="71"/>
      <c r="C165" s="71"/>
      <c r="D165" s="71"/>
      <c r="E165" s="71"/>
      <c r="F165" s="71"/>
      <c r="G165" s="71"/>
      <c r="H165" s="71"/>
      <c r="I165" s="71"/>
      <c r="J165" s="71"/>
      <c r="K165" s="71"/>
      <c r="L165" s="71"/>
      <c r="M165" s="138"/>
      <c r="N165" s="71"/>
      <c r="O165" s="71"/>
      <c r="P165" s="71"/>
      <c r="Q165" s="139"/>
      <c r="R165" s="71"/>
      <c r="S165" s="71"/>
      <c r="T165" s="71"/>
      <c r="U165" s="71"/>
      <c r="V165" s="71"/>
      <c r="W165" s="71"/>
      <c r="X165" s="71"/>
      <c r="Y165" s="71"/>
      <c r="Z165" s="71"/>
    </row>
    <row r="166" spans="1:26" x14ac:dyDescent="0.2">
      <c r="A166" s="71"/>
      <c r="B166" s="71"/>
      <c r="C166" s="71"/>
      <c r="D166" s="71"/>
      <c r="E166" s="71"/>
      <c r="F166" s="71"/>
      <c r="G166" s="71"/>
      <c r="H166" s="71"/>
      <c r="I166" s="71"/>
      <c r="J166" s="71"/>
      <c r="K166" s="71"/>
      <c r="L166" s="71"/>
      <c r="M166" s="138"/>
      <c r="N166" s="71"/>
      <c r="O166" s="71"/>
      <c r="P166" s="71"/>
      <c r="Q166" s="139"/>
      <c r="R166" s="71"/>
      <c r="S166" s="71"/>
      <c r="T166" s="71"/>
      <c r="U166" s="71"/>
      <c r="V166" s="71"/>
      <c r="W166" s="71"/>
      <c r="X166" s="71"/>
      <c r="Y166" s="71"/>
      <c r="Z166" s="71"/>
    </row>
    <row r="167" spans="1:26" x14ac:dyDescent="0.2">
      <c r="A167" s="71"/>
      <c r="B167" s="71"/>
      <c r="C167" s="71"/>
      <c r="D167" s="71"/>
      <c r="E167" s="71"/>
      <c r="F167" s="71"/>
      <c r="G167" s="71"/>
      <c r="H167" s="71"/>
      <c r="I167" s="71"/>
      <c r="J167" s="71"/>
      <c r="K167" s="71"/>
      <c r="L167" s="71"/>
      <c r="M167" s="138"/>
      <c r="N167" s="71"/>
      <c r="O167" s="71"/>
      <c r="P167" s="71"/>
      <c r="Q167" s="139"/>
      <c r="R167" s="71"/>
      <c r="S167" s="71"/>
      <c r="T167" s="71"/>
      <c r="U167" s="71"/>
      <c r="V167" s="71"/>
      <c r="W167" s="71"/>
      <c r="X167" s="71"/>
      <c r="Y167" s="71"/>
      <c r="Z167" s="71"/>
    </row>
    <row r="168" spans="1:26" x14ac:dyDescent="0.2">
      <c r="A168" s="71"/>
      <c r="B168" s="71"/>
      <c r="C168" s="71"/>
      <c r="D168" s="71"/>
      <c r="E168" s="71"/>
      <c r="F168" s="71"/>
      <c r="G168" s="71"/>
      <c r="H168" s="71"/>
      <c r="I168" s="71"/>
      <c r="J168" s="71"/>
      <c r="K168" s="71"/>
      <c r="L168" s="71"/>
      <c r="M168" s="138"/>
      <c r="N168" s="71"/>
      <c r="O168" s="71"/>
      <c r="P168" s="71"/>
      <c r="Q168" s="139"/>
      <c r="R168" s="71"/>
      <c r="S168" s="71"/>
      <c r="T168" s="71"/>
      <c r="U168" s="71"/>
      <c r="V168" s="71"/>
      <c r="W168" s="71"/>
      <c r="X168" s="71"/>
      <c r="Y168" s="71"/>
      <c r="Z168" s="71"/>
    </row>
    <row r="169" spans="1:26" x14ac:dyDescent="0.2">
      <c r="A169" s="71"/>
      <c r="B169" s="71"/>
      <c r="C169" s="71"/>
      <c r="D169" s="71"/>
      <c r="E169" s="71"/>
      <c r="F169" s="71"/>
      <c r="G169" s="71"/>
      <c r="H169" s="71"/>
      <c r="I169" s="71"/>
      <c r="J169" s="71"/>
      <c r="K169" s="71"/>
      <c r="L169" s="71"/>
      <c r="M169" s="138"/>
      <c r="N169" s="71"/>
      <c r="O169" s="71"/>
      <c r="P169" s="71"/>
      <c r="Q169" s="139"/>
      <c r="R169" s="71"/>
      <c r="S169" s="71"/>
      <c r="T169" s="71"/>
      <c r="U169" s="71"/>
      <c r="V169" s="71"/>
      <c r="W169" s="71"/>
      <c r="X169" s="71"/>
      <c r="Y169" s="71"/>
      <c r="Z169" s="71"/>
    </row>
    <row r="170" spans="1:26" x14ac:dyDescent="0.2">
      <c r="A170" s="71"/>
      <c r="B170" s="71"/>
      <c r="C170" s="71"/>
      <c r="D170" s="71"/>
      <c r="E170" s="71"/>
      <c r="F170" s="71"/>
      <c r="G170" s="71"/>
      <c r="H170" s="71"/>
      <c r="I170" s="71"/>
      <c r="J170" s="71"/>
      <c r="K170" s="71"/>
      <c r="L170" s="71"/>
      <c r="M170" s="138"/>
      <c r="N170" s="71"/>
      <c r="O170" s="71"/>
      <c r="P170" s="71"/>
      <c r="Q170" s="139"/>
      <c r="R170" s="71"/>
      <c r="S170" s="71"/>
      <c r="T170" s="71"/>
      <c r="U170" s="71"/>
      <c r="V170" s="71"/>
      <c r="W170" s="71"/>
      <c r="X170" s="71"/>
      <c r="Y170" s="71"/>
      <c r="Z170" s="71"/>
    </row>
    <row r="171" spans="1:26" x14ac:dyDescent="0.2">
      <c r="A171" s="71"/>
      <c r="B171" s="71"/>
      <c r="C171" s="71"/>
      <c r="D171" s="71"/>
      <c r="E171" s="71"/>
      <c r="F171" s="71"/>
      <c r="G171" s="71"/>
      <c r="H171" s="71"/>
      <c r="I171" s="71"/>
      <c r="J171" s="71"/>
      <c r="K171" s="71"/>
      <c r="L171" s="71"/>
      <c r="M171" s="138"/>
      <c r="N171" s="71"/>
      <c r="O171" s="71"/>
      <c r="P171" s="71"/>
      <c r="Q171" s="139"/>
      <c r="R171" s="71"/>
      <c r="S171" s="71"/>
      <c r="T171" s="71"/>
      <c r="U171" s="71"/>
      <c r="V171" s="71"/>
      <c r="W171" s="71"/>
      <c r="X171" s="71"/>
      <c r="Y171" s="71"/>
      <c r="Z171" s="71"/>
    </row>
    <row r="172" spans="1:26" x14ac:dyDescent="0.2">
      <c r="A172" s="71"/>
      <c r="B172" s="71"/>
      <c r="C172" s="71"/>
      <c r="D172" s="71"/>
      <c r="E172" s="71"/>
      <c r="F172" s="71"/>
      <c r="G172" s="71"/>
      <c r="H172" s="71"/>
      <c r="I172" s="71"/>
      <c r="J172" s="71"/>
      <c r="K172" s="71"/>
      <c r="L172" s="71"/>
      <c r="M172" s="138"/>
      <c r="N172" s="71"/>
      <c r="O172" s="71"/>
      <c r="P172" s="71"/>
      <c r="Q172" s="139"/>
      <c r="R172" s="71"/>
      <c r="S172" s="71"/>
      <c r="T172" s="71"/>
      <c r="U172" s="71"/>
      <c r="V172" s="71"/>
      <c r="W172" s="71"/>
      <c r="X172" s="71"/>
      <c r="Y172" s="71"/>
      <c r="Z172" s="71"/>
    </row>
    <row r="173" spans="1:26" x14ac:dyDescent="0.2">
      <c r="Q173" s="79"/>
    </row>
    <row r="174" spans="1:26" x14ac:dyDescent="0.2">
      <c r="Q174" s="79"/>
    </row>
    <row r="175" spans="1:26" x14ac:dyDescent="0.2">
      <c r="Q175" s="79"/>
    </row>
    <row r="176" spans="1:26" x14ac:dyDescent="0.2">
      <c r="Q176" s="79"/>
    </row>
    <row r="177" spans="17:17" x14ac:dyDescent="0.2">
      <c r="Q177" s="79"/>
    </row>
    <row r="178" spans="17:17" x14ac:dyDescent="0.2">
      <c r="Q178" s="79"/>
    </row>
    <row r="179" spans="17:17" x14ac:dyDescent="0.2">
      <c r="Q179" s="79"/>
    </row>
    <row r="180" spans="17:17" x14ac:dyDescent="0.2">
      <c r="Q180" s="79"/>
    </row>
    <row r="181" spans="17:17" x14ac:dyDescent="0.2">
      <c r="Q181" s="79"/>
    </row>
    <row r="182" spans="17:17" x14ac:dyDescent="0.2">
      <c r="Q182" s="79"/>
    </row>
    <row r="183" spans="17:17" x14ac:dyDescent="0.2">
      <c r="Q183" s="79"/>
    </row>
    <row r="184" spans="17:17" x14ac:dyDescent="0.2">
      <c r="Q184" s="79"/>
    </row>
    <row r="185" spans="17:17" x14ac:dyDescent="0.2">
      <c r="Q185" s="79"/>
    </row>
    <row r="186" spans="17:17" x14ac:dyDescent="0.2">
      <c r="Q186" s="79"/>
    </row>
    <row r="187" spans="17:17" x14ac:dyDescent="0.2">
      <c r="Q187" s="79"/>
    </row>
    <row r="188" spans="17:17" x14ac:dyDescent="0.2">
      <c r="Q188" s="79"/>
    </row>
    <row r="189" spans="17:17" x14ac:dyDescent="0.2">
      <c r="Q189" s="79"/>
    </row>
    <row r="190" spans="17:17" x14ac:dyDescent="0.2">
      <c r="Q190" s="79"/>
    </row>
    <row r="191" spans="17:17" x14ac:dyDescent="0.2">
      <c r="Q191" s="79"/>
    </row>
    <row r="192" spans="17:17" x14ac:dyDescent="0.2">
      <c r="Q192" s="79"/>
    </row>
    <row r="193" spans="17:17" x14ac:dyDescent="0.2">
      <c r="Q193" s="79"/>
    </row>
    <row r="194" spans="17:17" x14ac:dyDescent="0.2">
      <c r="Q194" s="79"/>
    </row>
    <row r="195" spans="17:17" x14ac:dyDescent="0.2">
      <c r="Q195" s="79"/>
    </row>
    <row r="196" spans="17:17" x14ac:dyDescent="0.2">
      <c r="Q196" s="79"/>
    </row>
    <row r="197" spans="17:17" x14ac:dyDescent="0.2">
      <c r="Q197" s="79"/>
    </row>
    <row r="198" spans="17:17" x14ac:dyDescent="0.2">
      <c r="Q198" s="79"/>
    </row>
    <row r="199" spans="17:17" x14ac:dyDescent="0.2">
      <c r="Q199" s="79"/>
    </row>
    <row r="200" spans="17:17" x14ac:dyDescent="0.2">
      <c r="Q200" s="79"/>
    </row>
    <row r="201" spans="17:17" x14ac:dyDescent="0.2">
      <c r="Q201" s="79"/>
    </row>
    <row r="202" spans="17:17" x14ac:dyDescent="0.2">
      <c r="Q202" s="79"/>
    </row>
    <row r="203" spans="17:17" x14ac:dyDescent="0.2">
      <c r="Q203" s="79"/>
    </row>
    <row r="204" spans="17:17" x14ac:dyDescent="0.2">
      <c r="Q204" s="79"/>
    </row>
    <row r="205" spans="17:17" x14ac:dyDescent="0.2">
      <c r="Q205" s="79"/>
    </row>
    <row r="206" spans="17:17" x14ac:dyDescent="0.2">
      <c r="Q206" s="79"/>
    </row>
    <row r="207" spans="17:17" x14ac:dyDescent="0.2">
      <c r="Q207" s="79"/>
    </row>
    <row r="208" spans="17:17" x14ac:dyDescent="0.2">
      <c r="Q208" s="79"/>
    </row>
    <row r="209" spans="17:17" x14ac:dyDescent="0.2">
      <c r="Q209" s="79"/>
    </row>
    <row r="210" spans="17:17" x14ac:dyDescent="0.2">
      <c r="Q210" s="79"/>
    </row>
    <row r="211" spans="17:17" x14ac:dyDescent="0.2">
      <c r="Q211" s="79"/>
    </row>
    <row r="212" spans="17:17" x14ac:dyDescent="0.2">
      <c r="Q212" s="79"/>
    </row>
    <row r="213" spans="17:17" x14ac:dyDescent="0.2">
      <c r="Q213" s="79"/>
    </row>
    <row r="214" spans="17:17" x14ac:dyDescent="0.2">
      <c r="Q214" s="79"/>
    </row>
    <row r="215" spans="17:17" x14ac:dyDescent="0.2">
      <c r="Q215" s="79"/>
    </row>
    <row r="216" spans="17:17" x14ac:dyDescent="0.2">
      <c r="Q216" s="79"/>
    </row>
    <row r="217" spans="17:17" x14ac:dyDescent="0.2">
      <c r="Q217" s="79"/>
    </row>
    <row r="218" spans="17:17" x14ac:dyDescent="0.2">
      <c r="Q218" s="79"/>
    </row>
    <row r="219" spans="17:17" x14ac:dyDescent="0.2">
      <c r="Q219" s="79"/>
    </row>
    <row r="220" spans="17:17" x14ac:dyDescent="0.2">
      <c r="Q220" s="79"/>
    </row>
    <row r="221" spans="17:17" x14ac:dyDescent="0.2">
      <c r="Q221" s="79"/>
    </row>
    <row r="222" spans="17:17" x14ac:dyDescent="0.2">
      <c r="Q222" s="79"/>
    </row>
    <row r="223" spans="17:17" x14ac:dyDescent="0.2">
      <c r="Q223" s="79"/>
    </row>
    <row r="224" spans="17:17" x14ac:dyDescent="0.2">
      <c r="Q224" s="79"/>
    </row>
    <row r="225" spans="17:17" x14ac:dyDescent="0.2">
      <c r="Q225" s="79"/>
    </row>
    <row r="226" spans="17:17" x14ac:dyDescent="0.2">
      <c r="Q226" s="79"/>
    </row>
    <row r="227" spans="17:17" x14ac:dyDescent="0.2">
      <c r="Q227" s="79"/>
    </row>
    <row r="228" spans="17:17" x14ac:dyDescent="0.2">
      <c r="Q228" s="79"/>
    </row>
    <row r="229" spans="17:17" x14ac:dyDescent="0.2">
      <c r="Q229" s="79"/>
    </row>
    <row r="230" spans="17:17" x14ac:dyDescent="0.2">
      <c r="Q230" s="79"/>
    </row>
    <row r="231" spans="17:17" x14ac:dyDescent="0.2">
      <c r="Q231" s="79"/>
    </row>
    <row r="232" spans="17:17" x14ac:dyDescent="0.2">
      <c r="Q232" s="79"/>
    </row>
    <row r="233" spans="17:17" x14ac:dyDescent="0.2">
      <c r="Q233" s="79"/>
    </row>
    <row r="234" spans="17:17" x14ac:dyDescent="0.2">
      <c r="Q234" s="79"/>
    </row>
    <row r="235" spans="17:17" x14ac:dyDescent="0.2">
      <c r="Q235" s="79"/>
    </row>
    <row r="236" spans="17:17" x14ac:dyDescent="0.2">
      <c r="Q236" s="79"/>
    </row>
    <row r="237" spans="17:17" x14ac:dyDescent="0.2">
      <c r="Q237" s="79"/>
    </row>
    <row r="238" spans="17:17" x14ac:dyDescent="0.2">
      <c r="Q238" s="79"/>
    </row>
    <row r="239" spans="17:17" x14ac:dyDescent="0.2">
      <c r="Q239" s="79"/>
    </row>
    <row r="240" spans="17:17" x14ac:dyDescent="0.2">
      <c r="Q240" s="79"/>
    </row>
    <row r="241" spans="17:17" x14ac:dyDescent="0.2">
      <c r="Q241" s="79"/>
    </row>
    <row r="242" spans="17:17" x14ac:dyDescent="0.2">
      <c r="Q242" s="79"/>
    </row>
    <row r="243" spans="17:17" x14ac:dyDescent="0.2">
      <c r="Q243" s="79"/>
    </row>
    <row r="244" spans="17:17" x14ac:dyDescent="0.2">
      <c r="Q244" s="79"/>
    </row>
    <row r="245" spans="17:17" x14ac:dyDescent="0.2">
      <c r="Q245" s="79"/>
    </row>
    <row r="246" spans="17:17" x14ac:dyDescent="0.2">
      <c r="Q246" s="79"/>
    </row>
    <row r="247" spans="17:17" x14ac:dyDescent="0.2">
      <c r="Q247" s="79"/>
    </row>
    <row r="248" spans="17:17" x14ac:dyDescent="0.2">
      <c r="Q248" s="79"/>
    </row>
    <row r="249" spans="17:17" x14ac:dyDescent="0.2">
      <c r="Q249" s="79"/>
    </row>
    <row r="250" spans="17:17" x14ac:dyDescent="0.2">
      <c r="Q250" s="79"/>
    </row>
    <row r="251" spans="17:17" x14ac:dyDescent="0.2">
      <c r="Q251" s="79"/>
    </row>
    <row r="252" spans="17:17" x14ac:dyDescent="0.2">
      <c r="Q252" s="79"/>
    </row>
    <row r="253" spans="17:17" x14ac:dyDescent="0.2">
      <c r="Q253" s="79"/>
    </row>
    <row r="254" spans="17:17" x14ac:dyDescent="0.2">
      <c r="Q254" s="79"/>
    </row>
    <row r="255" spans="17:17" x14ac:dyDescent="0.2">
      <c r="Q255" s="79"/>
    </row>
    <row r="256" spans="17:17" x14ac:dyDescent="0.2">
      <c r="Q256" s="79"/>
    </row>
    <row r="257" spans="17:17" x14ac:dyDescent="0.2">
      <c r="Q257" s="79"/>
    </row>
    <row r="258" spans="17:17" x14ac:dyDescent="0.2">
      <c r="Q258" s="79"/>
    </row>
    <row r="259" spans="17:17" x14ac:dyDescent="0.2">
      <c r="Q259" s="79"/>
    </row>
    <row r="260" spans="17:17" x14ac:dyDescent="0.2">
      <c r="Q260" s="79"/>
    </row>
    <row r="261" spans="17:17" x14ac:dyDescent="0.2">
      <c r="Q261" s="79"/>
    </row>
    <row r="262" spans="17:17" x14ac:dyDescent="0.2">
      <c r="Q262" s="79"/>
    </row>
    <row r="263" spans="17:17" x14ac:dyDescent="0.2">
      <c r="Q263" s="79"/>
    </row>
    <row r="264" spans="17:17" x14ac:dyDescent="0.2">
      <c r="Q264" s="79"/>
    </row>
    <row r="265" spans="17:17" x14ac:dyDescent="0.2">
      <c r="Q265" s="79"/>
    </row>
    <row r="266" spans="17:17" x14ac:dyDescent="0.2">
      <c r="Q266"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E20" sqref="E20"/>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9" customWidth="1"/>
    <col min="14" max="14" width="26.140625" style="2" customWidth="1"/>
    <col min="15" max="16" width="21.140625" style="2" customWidth="1"/>
    <col min="17" max="17" width="21.140625" style="70"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6" t="s">
        <v>53</v>
      </c>
      <c r="B1" s="121">
        <f>'Illustration Data Entry'!G26</f>
        <v>0</v>
      </c>
      <c r="O1" s="77" t="s">
        <v>59</v>
      </c>
    </row>
    <row r="2" spans="1:20" ht="16.5" thickTop="1" thickBot="1" x14ac:dyDescent="0.3">
      <c r="A2" s="117" t="s">
        <v>54</v>
      </c>
      <c r="B2" s="45">
        <f>IF('Illustration Data Entry'!G28='Illustration Data Entry'!V106,'Illustration Data Entry'!N28,0)</f>
        <v>0</v>
      </c>
      <c r="D2" s="80" t="s">
        <v>55</v>
      </c>
      <c r="E2" s="80" t="s">
        <v>56</v>
      </c>
      <c r="F2" s="80" t="s">
        <v>57</v>
      </c>
      <c r="G2" s="80" t="s">
        <v>0</v>
      </c>
      <c r="H2" s="128" t="s">
        <v>85</v>
      </c>
      <c r="I2" s="128" t="s">
        <v>86</v>
      </c>
      <c r="J2" s="129" t="s">
        <v>87</v>
      </c>
      <c r="O2" s="77" t="s">
        <v>60</v>
      </c>
    </row>
    <row r="3" spans="1:20" ht="16.5" thickTop="1" thickBot="1" x14ac:dyDescent="0.3">
      <c r="A3" s="117" t="s">
        <v>58</v>
      </c>
      <c r="B3" s="56">
        <f>IF('Illustration Data Entry'!G28='Illustration Data Entry'!V107,'Illustration Data Entry'!N28,0)</f>
        <v>0</v>
      </c>
      <c r="D3" s="73">
        <f>'Illustration Data Entry'!AJ105</f>
        <v>0</v>
      </c>
      <c r="E3" s="73">
        <f>'Illustration Data Entry'!AK105</f>
        <v>249999.99</v>
      </c>
      <c r="F3" s="125">
        <f>'Illustration Data Entry'!AL105%</f>
        <v>4.7999999999999996E-3</v>
      </c>
      <c r="G3" s="74">
        <f>F3+$B$12+$B$13+$B$14</f>
        <v>4.7999999999999996E-3</v>
      </c>
      <c r="H3" s="75">
        <f t="shared" ref="H3:H8" si="0">(((E3-D3)*G3))</f>
        <v>1199.9999519999999</v>
      </c>
      <c r="I3" s="74">
        <f t="shared" ref="I3:I8" si="1">H3/12</f>
        <v>99.999995999999996</v>
      </c>
      <c r="J3" s="75">
        <f>I3</f>
        <v>99.999995999999996</v>
      </c>
      <c r="O3" s="77" t="s">
        <v>61</v>
      </c>
    </row>
    <row r="4" spans="1:20" ht="16.5" thickTop="1" thickBot="1" x14ac:dyDescent="0.3">
      <c r="A4" s="118" t="s">
        <v>26</v>
      </c>
      <c r="B4" s="33">
        <f>'Illustration Data Entry'!V158</f>
        <v>0</v>
      </c>
      <c r="D4" s="73">
        <f>'Illustration Data Entry'!AJ106</f>
        <v>250000</v>
      </c>
      <c r="E4" s="73">
        <f>'Illustration Data Entry'!AK106</f>
        <v>999999.99</v>
      </c>
      <c r="F4" s="125">
        <f>'Illustration Data Entry'!AL106%</f>
        <v>4.7999999999999996E-3</v>
      </c>
      <c r="G4" s="74">
        <f>F4+$B$12+$B$13+$B$14</f>
        <v>4.7999999999999996E-3</v>
      </c>
      <c r="H4" s="75">
        <f t="shared" si="0"/>
        <v>3599.9999519999997</v>
      </c>
      <c r="I4" s="74">
        <f t="shared" si="1"/>
        <v>299.99999599999995</v>
      </c>
      <c r="J4" s="75">
        <f>I4+J3</f>
        <v>399.99999199999996</v>
      </c>
      <c r="O4" s="77" t="s">
        <v>62</v>
      </c>
    </row>
    <row r="5" spans="1:20" ht="16.5" thickTop="1" thickBot="1" x14ac:dyDescent="0.3">
      <c r="A5" s="119" t="s">
        <v>27</v>
      </c>
      <c r="B5" s="33">
        <f>IF('Illustration Data Entry'!G26="",0,Illustration!E40/100)</f>
        <v>0</v>
      </c>
      <c r="D5" s="73">
        <f>'Illustration Data Entry'!AJ107</f>
        <v>1000000</v>
      </c>
      <c r="E5" s="73">
        <f>'Illustration Data Entry'!AK107</f>
        <v>3999999.99</v>
      </c>
      <c r="F5" s="125">
        <f>'Illustration Data Entry'!AL107%</f>
        <v>4.7999999999999996E-3</v>
      </c>
      <c r="G5" s="74">
        <f>F5+$B$12+$B$13+$B$14</f>
        <v>4.7999999999999996E-3</v>
      </c>
      <c r="H5" s="75">
        <f t="shared" si="0"/>
        <v>14399.999952</v>
      </c>
      <c r="I5" s="74">
        <f t="shared" si="1"/>
        <v>1199.999996</v>
      </c>
      <c r="J5" s="75">
        <f>I5+J4</f>
        <v>1599.999988</v>
      </c>
      <c r="Q5" s="2"/>
    </row>
    <row r="6" spans="1:20" ht="16.5" thickTop="1" thickBot="1" x14ac:dyDescent="0.3">
      <c r="A6" s="120" t="s">
        <v>28</v>
      </c>
      <c r="B6" s="33">
        <f>IF('Illustration Data Entry'!N28="",0,Illustration!Q40/100)</f>
        <v>0</v>
      </c>
      <c r="D6" s="73">
        <f>'Illustration Data Entry'!AJ108</f>
        <v>4000000</v>
      </c>
      <c r="E6" s="73">
        <f>'Illustration Data Entry'!AK108</f>
        <v>4999999.99</v>
      </c>
      <c r="F6" s="125">
        <f>'Illustration Data Entry'!AL108%</f>
        <v>4.7999999999999996E-3</v>
      </c>
      <c r="G6" s="74">
        <f>F6+$B$12+$B$13+$B$14</f>
        <v>4.7999999999999996E-3</v>
      </c>
      <c r="H6" s="75">
        <f t="shared" si="0"/>
        <v>4799.999952000001</v>
      </c>
      <c r="I6" s="74">
        <f t="shared" si="1"/>
        <v>399.99999600000007</v>
      </c>
      <c r="J6" s="75">
        <f>I6+J5</f>
        <v>1999.999984</v>
      </c>
    </row>
    <row r="7" spans="1:20" ht="16.5" thickTop="1" thickBot="1" x14ac:dyDescent="0.3">
      <c r="A7" s="116" t="s">
        <v>88</v>
      </c>
      <c r="B7" s="130" t="str">
        <f>'Illustration Data Entry'!N67</f>
        <v>Yes</v>
      </c>
      <c r="D7" s="73">
        <f>'Illustration Data Entry'!AJ109</f>
        <v>5000000</v>
      </c>
      <c r="E7" s="73">
        <f>'Illustration Data Entry'!AK109</f>
        <v>20000000</v>
      </c>
      <c r="F7" s="125">
        <f>'Illustration Data Entry'!AL109%</f>
        <v>4.7999999999999996E-3</v>
      </c>
      <c r="G7" s="74">
        <f>F7+$B$12+$B$13+$B$14</f>
        <v>4.7999999999999996E-3</v>
      </c>
      <c r="H7" s="75">
        <f t="shared" si="0"/>
        <v>72000</v>
      </c>
      <c r="I7" s="74">
        <f t="shared" si="1"/>
        <v>6000</v>
      </c>
      <c r="J7" s="75">
        <f>I7+J6</f>
        <v>7999.999984</v>
      </c>
    </row>
    <row r="8" spans="1:20" ht="16.5" thickTop="1" thickBot="1" x14ac:dyDescent="0.25">
      <c r="A8" s="116" t="s">
        <v>52</v>
      </c>
      <c r="B8" s="121">
        <f>IF(ISBLANK('Illustration Data Entry'!N63),0,IF('Illustration Data Entry'!N22="Yes",('Illustration Data Entry'!N63)*('Illustration Data Entry'!V156),0))</f>
        <v>0</v>
      </c>
      <c r="D8" s="73">
        <f>'Illustration Data Entry'!AJ110</f>
        <v>20000000.010000002</v>
      </c>
      <c r="E8" s="73">
        <f>'Illustration Data Entry'!AK110</f>
        <v>9999999999</v>
      </c>
      <c r="F8" s="125">
        <f>'Illustration Data Entry'!AL110%</f>
        <v>4.7999999999999996E-3</v>
      </c>
      <c r="G8" s="77"/>
      <c r="H8" s="75">
        <f t="shared" si="0"/>
        <v>0</v>
      </c>
      <c r="I8" s="77">
        <f t="shared" si="1"/>
        <v>0</v>
      </c>
      <c r="J8" s="75">
        <f>I8+J7</f>
        <v>7999.999984</v>
      </c>
    </row>
    <row r="9" spans="1:20" ht="16.5" thickTop="1" thickBot="1" x14ac:dyDescent="0.25">
      <c r="A9" s="116" t="s">
        <v>127</v>
      </c>
      <c r="B9" s="123" t="str">
        <f>'Illustration Data Entry'!N76</f>
        <v>7.5%</v>
      </c>
      <c r="D9" s="73">
        <f>'Illustration Data Entry'!AJ111</f>
        <v>0</v>
      </c>
      <c r="E9" s="73">
        <f>'Illustration Data Entry'!AK111</f>
        <v>0</v>
      </c>
      <c r="F9" s="125">
        <f>'Illustration Data Entry'!AL111%</f>
        <v>0</v>
      </c>
      <c r="G9" s="77"/>
      <c r="H9" s="75"/>
      <c r="I9" s="74"/>
      <c r="J9" s="75"/>
    </row>
    <row r="10" spans="1:20" ht="16.5" thickTop="1" thickBot="1" x14ac:dyDescent="0.25">
      <c r="A10" s="116" t="s">
        <v>30</v>
      </c>
      <c r="B10" s="122">
        <f>'Illustration Data Entry'!V151</f>
        <v>0.03</v>
      </c>
    </row>
    <row r="11" spans="1:20" ht="16.5" thickTop="1" thickBot="1" x14ac:dyDescent="0.25">
      <c r="A11" s="118" t="s">
        <v>80</v>
      </c>
      <c r="B11" s="124"/>
      <c r="F11" s="32"/>
    </row>
    <row r="12" spans="1:20" ht="16.5" thickTop="1" thickBot="1" x14ac:dyDescent="0.25">
      <c r="A12" s="119" t="s">
        <v>29</v>
      </c>
      <c r="B12" s="122">
        <f>'Illustration Data Entry'!K93</f>
        <v>0</v>
      </c>
      <c r="Q12" s="2"/>
    </row>
    <row r="13" spans="1:20" ht="17.25" customHeight="1" thickTop="1" thickBot="1" x14ac:dyDescent="0.25">
      <c r="A13" s="119" t="s">
        <v>31</v>
      </c>
      <c r="B13" s="122">
        <f>'Illustration Data Entry'!V159</f>
        <v>0</v>
      </c>
    </row>
    <row r="14" spans="1:20" ht="17.25" customHeight="1" thickTop="1" thickBot="1" x14ac:dyDescent="0.25">
      <c r="A14" s="203" t="s">
        <v>140</v>
      </c>
      <c r="B14" s="122">
        <f>'Illustration Data Entry'!N82</f>
        <v>0</v>
      </c>
      <c r="O14" s="52"/>
      <c r="P14" s="53" t="s">
        <v>1</v>
      </c>
      <c r="Q14" s="54" t="s">
        <v>74</v>
      </c>
      <c r="R14" s="54" t="s">
        <v>50</v>
      </c>
      <c r="S14" s="54" t="s">
        <v>25</v>
      </c>
      <c r="T14" s="55" t="s">
        <v>7</v>
      </c>
    </row>
    <row r="15" spans="1:20" ht="16.5" thickTop="1" thickBot="1" x14ac:dyDescent="0.25">
      <c r="A15" s="72" t="s">
        <v>128</v>
      </c>
      <c r="B15" s="83">
        <f>'Illustration Data Entry'!G30</f>
        <v>0</v>
      </c>
      <c r="O15" s="81" t="s">
        <v>3</v>
      </c>
      <c r="P15" s="82">
        <f>ROUND(P39,3-LEN(INT(P39)))</f>
        <v>0</v>
      </c>
      <c r="Q15" s="82">
        <f>ROUND(Q39,0)</f>
        <v>0</v>
      </c>
      <c r="R15" s="82">
        <f>ROUND(R39,3-LEN(INT(R39)))</f>
        <v>0</v>
      </c>
      <c r="S15" s="82">
        <f>ROUND(S39,3-LEN(INT(S39)))</f>
        <v>0</v>
      </c>
      <c r="T15" s="126">
        <f>ROUND(T39,3-LEN(INT(T39)))</f>
        <v>0</v>
      </c>
    </row>
    <row r="16" spans="1:20" ht="14.25" thickTop="1" thickBot="1" x14ac:dyDescent="0.25">
      <c r="A16" s="84" t="s">
        <v>89</v>
      </c>
      <c r="B16" s="85">
        <v>0</v>
      </c>
      <c r="O16" s="81" t="s">
        <v>4</v>
      </c>
      <c r="P16" s="82">
        <f>ROUND(P63,3-LEN(INT(P63)))</f>
        <v>0</v>
      </c>
      <c r="Q16" s="82">
        <f>ROUND(Q63,0)</f>
        <v>0</v>
      </c>
      <c r="R16" s="82">
        <f>ROUND(R63,3-LEN(INT(R63)))</f>
        <v>0</v>
      </c>
      <c r="S16" s="82">
        <f>ROUND(S63,3-LEN(INT(S63)))</f>
        <v>0</v>
      </c>
      <c r="T16" s="126">
        <f>ROUND(T63,3-LEN(INT(T63)))</f>
        <v>0</v>
      </c>
    </row>
    <row r="17" spans="1:35" ht="13.5" thickBot="1" x14ac:dyDescent="0.25">
      <c r="A17" s="84" t="s">
        <v>91</v>
      </c>
      <c r="B17" s="85">
        <f>B18+B19</f>
        <v>0</v>
      </c>
      <c r="O17" s="81" t="s">
        <v>5</v>
      </c>
      <c r="P17" s="82">
        <f>ROUND(P87,3-LEN(INT(P87)))</f>
        <v>0</v>
      </c>
      <c r="Q17" s="82">
        <f>ROUND(Q87,0)</f>
        <v>0</v>
      </c>
      <c r="R17" s="82">
        <f>ROUND(R87,3-LEN(INT(R87)))</f>
        <v>0</v>
      </c>
      <c r="S17" s="82">
        <f>ROUND(S87,3-LEN(INT(S87)))</f>
        <v>0</v>
      </c>
      <c r="T17" s="126">
        <f>ROUND(T87,3-LEN(INT(T87)))</f>
        <v>0</v>
      </c>
    </row>
    <row r="18" spans="1:35" ht="13.5" thickBot="1" x14ac:dyDescent="0.25">
      <c r="A18" s="71" t="s">
        <v>90</v>
      </c>
      <c r="B18" s="76">
        <f>$B8</f>
        <v>0</v>
      </c>
      <c r="O18" s="81" t="s">
        <v>6</v>
      </c>
      <c r="P18" s="86">
        <f>ROUND(P147,3-LEN(INT(P147)))</f>
        <v>0</v>
      </c>
      <c r="Q18" s="86">
        <f>ROUND(Q147,0)</f>
        <v>0</v>
      </c>
      <c r="R18" s="86">
        <f>ROUND(R147,3-LEN(INT(R147)))</f>
        <v>0</v>
      </c>
      <c r="S18" s="86">
        <f>ROUND(S147,3-LEN(INT(S147)))</f>
        <v>0</v>
      </c>
      <c r="T18" s="127">
        <f>ROUND(T147,3-LEN(INT(T147)))</f>
        <v>0</v>
      </c>
    </row>
    <row r="19" spans="1:35" ht="13.5" thickBot="1" x14ac:dyDescent="0.25">
      <c r="B19" s="76">
        <f>B1*B5</f>
        <v>0</v>
      </c>
      <c r="O19" s="88"/>
      <c r="P19" s="89" t="s">
        <v>8</v>
      </c>
      <c r="Q19" s="87"/>
      <c r="R19" s="87"/>
      <c r="S19" s="87"/>
      <c r="T19" s="90" t="e">
        <f>B25</f>
        <v>#NUM!</v>
      </c>
    </row>
    <row r="20" spans="1:35" ht="15" x14ac:dyDescent="0.2">
      <c r="A20" s="57"/>
      <c r="B20" s="57"/>
      <c r="C20" s="178">
        <v>-0.05</v>
      </c>
      <c r="D20" s="91"/>
      <c r="E20" s="91"/>
      <c r="F20" s="91"/>
      <c r="G20" s="91"/>
      <c r="H20" s="92"/>
      <c r="I20" s="91"/>
      <c r="J20" s="91"/>
      <c r="K20" s="91"/>
      <c r="L20" s="91"/>
      <c r="M20" s="93"/>
      <c r="N20" s="91"/>
      <c r="O20" s="91"/>
      <c r="P20" s="91"/>
      <c r="Q20" s="91"/>
      <c r="R20" s="91"/>
      <c r="S20" s="91"/>
      <c r="T20" s="57"/>
      <c r="U20" s="57"/>
      <c r="V20" s="57"/>
      <c r="W20" s="57"/>
      <c r="X20" s="57"/>
      <c r="Y20" s="57"/>
    </row>
    <row r="21" spans="1:35" ht="15" x14ac:dyDescent="0.2">
      <c r="A21" s="57"/>
      <c r="B21" s="57"/>
      <c r="C21" s="58"/>
      <c r="D21" s="91"/>
      <c r="E21" s="91"/>
      <c r="F21" s="91"/>
      <c r="G21" s="91"/>
      <c r="H21" s="92"/>
      <c r="I21" s="91"/>
      <c r="J21" s="91"/>
      <c r="K21" s="91"/>
      <c r="L21" s="91"/>
      <c r="M21" s="93"/>
      <c r="N21" s="91"/>
      <c r="O21" s="91"/>
      <c r="P21" s="91"/>
      <c r="Q21" s="91"/>
      <c r="R21" s="91"/>
      <c r="S21" s="91"/>
      <c r="T21" s="57"/>
      <c r="U21" s="57"/>
      <c r="V21" s="57"/>
      <c r="W21" s="57"/>
      <c r="X21" s="57"/>
      <c r="Y21" s="57"/>
    </row>
    <row r="22" spans="1:35" ht="46.5" customHeight="1" thickBot="1" x14ac:dyDescent="0.25">
      <c r="A22" s="140"/>
      <c r="B22" s="141" t="s">
        <v>92</v>
      </c>
      <c r="C22" s="141" t="s">
        <v>93</v>
      </c>
      <c r="D22" s="141" t="s">
        <v>94</v>
      </c>
      <c r="E22" s="141" t="s">
        <v>95</v>
      </c>
      <c r="F22" s="141" t="s">
        <v>96</v>
      </c>
      <c r="G22" s="142" t="s">
        <v>97</v>
      </c>
      <c r="H22" s="142" t="s">
        <v>98</v>
      </c>
      <c r="I22" s="142" t="s">
        <v>99</v>
      </c>
      <c r="J22" s="142" t="s">
        <v>100</v>
      </c>
      <c r="K22" s="141" t="s">
        <v>101</v>
      </c>
      <c r="L22" s="143" t="s">
        <v>102</v>
      </c>
      <c r="M22" s="141" t="s">
        <v>103</v>
      </c>
      <c r="N22" s="144" t="str">
        <f>"Additional Growth at "&amp;INT(100*B9)&amp;"% 
(non-fee world)"</f>
        <v>Additional Growth at 7% 
(non-fee world)</v>
      </c>
      <c r="O22" s="143" t="s">
        <v>104</v>
      </c>
      <c r="P22" s="145" t="s">
        <v>105</v>
      </c>
      <c r="Q22" s="145" t="s">
        <v>106</v>
      </c>
      <c r="R22" s="145" t="s">
        <v>107</v>
      </c>
      <c r="S22" s="145" t="s">
        <v>108</v>
      </c>
      <c r="T22" s="145" t="s">
        <v>109</v>
      </c>
      <c r="U22" s="146" t="s">
        <v>63</v>
      </c>
      <c r="V22" s="146" t="s">
        <v>64</v>
      </c>
      <c r="W22" s="146" t="s">
        <v>65</v>
      </c>
      <c r="X22" s="146" t="s">
        <v>66</v>
      </c>
      <c r="Y22" s="146" t="s">
        <v>68</v>
      </c>
      <c r="Z22" s="71"/>
    </row>
    <row r="23" spans="1:35" s="94" customFormat="1" ht="13.5" hidden="1" thickBot="1" x14ac:dyDescent="0.25">
      <c r="A23" s="147"/>
      <c r="B23" s="148"/>
      <c r="C23" s="148" t="s">
        <v>110</v>
      </c>
      <c r="D23" s="148" t="s">
        <v>110</v>
      </c>
      <c r="E23" s="148" t="s">
        <v>24</v>
      </c>
      <c r="F23" s="148" t="s">
        <v>24</v>
      </c>
      <c r="G23" s="149" t="s">
        <v>110</v>
      </c>
      <c r="H23" s="149" t="s">
        <v>110</v>
      </c>
      <c r="I23" s="149" t="s">
        <v>111</v>
      </c>
      <c r="J23" s="149" t="s">
        <v>111</v>
      </c>
      <c r="K23" s="148" t="s">
        <v>110</v>
      </c>
      <c r="L23" s="150"/>
      <c r="M23" s="148" t="s">
        <v>110</v>
      </c>
      <c r="N23" s="151" t="s">
        <v>24</v>
      </c>
      <c r="O23" s="150"/>
      <c r="P23" s="152"/>
      <c r="Q23" s="152"/>
      <c r="R23" s="152"/>
      <c r="S23" s="152"/>
      <c r="T23" s="152"/>
      <c r="U23" s="153"/>
      <c r="V23" s="153"/>
      <c r="W23" s="153"/>
      <c r="X23" s="153"/>
      <c r="Y23" s="153"/>
      <c r="Z23" s="71"/>
      <c r="AA23" s="2"/>
      <c r="AB23" s="2"/>
      <c r="AC23" s="2"/>
      <c r="AD23" s="2"/>
      <c r="AE23" s="2"/>
      <c r="AF23" s="2"/>
      <c r="AG23" s="2"/>
      <c r="AH23" s="2"/>
      <c r="AI23" s="2"/>
    </row>
    <row r="24" spans="1:35" s="95" customFormat="1" ht="133.5" hidden="1" customHeight="1" x14ac:dyDescent="0.2">
      <c r="A24" s="154"/>
      <c r="B24" s="155" t="s">
        <v>112</v>
      </c>
      <c r="C24" s="155" t="s">
        <v>113</v>
      </c>
      <c r="D24" s="155" t="s">
        <v>114</v>
      </c>
      <c r="E24" s="155" t="s">
        <v>115</v>
      </c>
      <c r="F24" s="155" t="s">
        <v>116</v>
      </c>
      <c r="G24" s="155" t="s">
        <v>117</v>
      </c>
      <c r="H24" s="156" t="s">
        <v>118</v>
      </c>
      <c r="I24" s="156" t="s">
        <v>119</v>
      </c>
      <c r="J24" s="156" t="s">
        <v>120</v>
      </c>
      <c r="K24" s="155" t="s">
        <v>121</v>
      </c>
      <c r="L24" s="157" t="s">
        <v>122</v>
      </c>
      <c r="M24" s="155" t="s">
        <v>123</v>
      </c>
      <c r="N24" s="158" t="s">
        <v>124</v>
      </c>
      <c r="O24" s="157" t="s">
        <v>125</v>
      </c>
      <c r="P24" s="159" t="s">
        <v>126</v>
      </c>
      <c r="Q24" s="159"/>
      <c r="R24" s="159"/>
      <c r="S24" s="159"/>
      <c r="T24" s="159"/>
      <c r="U24" s="160"/>
      <c r="V24" s="160"/>
      <c r="W24" s="160"/>
      <c r="X24" s="160"/>
      <c r="Y24" s="160"/>
      <c r="Z24" s="71"/>
      <c r="AA24" s="2"/>
      <c r="AB24" s="2"/>
      <c r="AC24" s="2"/>
      <c r="AD24" s="2"/>
      <c r="AE24" s="2"/>
      <c r="AF24" s="2"/>
      <c r="AG24" s="2"/>
      <c r="AH24" s="2"/>
      <c r="AI24" s="2"/>
    </row>
    <row r="25" spans="1:35" x14ac:dyDescent="0.2">
      <c r="A25" s="161" t="s">
        <v>8</v>
      </c>
      <c r="B25" s="162" t="e">
        <f>(1+IRR(B27:B147,C20))^12-1</f>
        <v>#NUM!</v>
      </c>
      <c r="C25" s="163">
        <f>B1</f>
        <v>0</v>
      </c>
      <c r="D25" s="163">
        <f>B2</f>
        <v>0</v>
      </c>
      <c r="E25" s="164" t="str">
        <f>B9</f>
        <v>7.5%</v>
      </c>
      <c r="F25" s="163"/>
      <c r="G25" s="165">
        <f>B3</f>
        <v>0</v>
      </c>
      <c r="H25" s="166">
        <f>B10</f>
        <v>0.03</v>
      </c>
      <c r="I25" s="165">
        <f>B16</f>
        <v>0</v>
      </c>
      <c r="J25" s="166"/>
      <c r="K25" s="131"/>
      <c r="L25" s="167"/>
      <c r="M25" s="131"/>
      <c r="N25" s="168"/>
      <c r="O25" s="169"/>
      <c r="P25" s="170"/>
      <c r="Q25" s="171">
        <f>C25</f>
        <v>0</v>
      </c>
      <c r="R25" s="171">
        <f>G25</f>
        <v>0</v>
      </c>
      <c r="S25" s="170"/>
      <c r="T25" s="170"/>
      <c r="U25" s="96"/>
      <c r="V25" s="96"/>
      <c r="W25" s="96"/>
      <c r="X25" s="96"/>
      <c r="Y25" s="96"/>
      <c r="Z25" s="71"/>
    </row>
    <row r="26" spans="1:35" x14ac:dyDescent="0.2">
      <c r="A26" s="172"/>
      <c r="B26" s="173"/>
      <c r="C26" s="174"/>
      <c r="D26" s="174"/>
      <c r="E26" s="175">
        <f>C28*((1+$B$9)^(1/12)-1)</f>
        <v>0</v>
      </c>
      <c r="F26" s="174"/>
      <c r="G26" s="176"/>
      <c r="H26" s="177"/>
      <c r="I26" s="176"/>
      <c r="J26" s="177"/>
      <c r="K26" s="131"/>
      <c r="L26" s="169"/>
      <c r="M26" s="131"/>
      <c r="N26" s="168"/>
      <c r="O26" s="169"/>
      <c r="P26" s="170"/>
      <c r="Q26" s="171"/>
      <c r="R26" s="171"/>
      <c r="S26" s="170"/>
      <c r="T26" s="170"/>
      <c r="U26" s="96"/>
      <c r="V26" s="96"/>
      <c r="W26" s="96"/>
      <c r="X26" s="96"/>
      <c r="Y26" s="96"/>
      <c r="Z26" s="71"/>
    </row>
    <row r="27" spans="1:35" ht="13.5" thickBot="1" x14ac:dyDescent="0.25">
      <c r="A27" s="97">
        <v>0</v>
      </c>
      <c r="B27" s="98">
        <f>-C27</f>
        <v>0</v>
      </c>
      <c r="C27" s="99">
        <f>C25-I25</f>
        <v>0</v>
      </c>
      <c r="D27" s="99"/>
      <c r="E27" s="99"/>
      <c r="F27" s="99"/>
      <c r="G27" s="98"/>
      <c r="H27" s="98"/>
      <c r="I27" s="98">
        <f>B17</f>
        <v>0</v>
      </c>
      <c r="J27" s="98"/>
      <c r="K27" s="99">
        <f>MAX(SUM(G27:J27)-SUM(C27:F27),0)</f>
        <v>0</v>
      </c>
      <c r="L27" s="100">
        <f>SUM(C27:F27)-SUM(G27:K27)+K27</f>
        <v>0</v>
      </c>
      <c r="M27" s="99"/>
      <c r="N27" s="99">
        <f>(O27-L27)</f>
        <v>0</v>
      </c>
      <c r="O27" s="100">
        <f>C27</f>
        <v>0</v>
      </c>
      <c r="P27" s="99">
        <f>SUM(N$27:N27)</f>
        <v>0</v>
      </c>
      <c r="Q27" s="99">
        <f>O27</f>
        <v>0</v>
      </c>
      <c r="R27" s="99"/>
      <c r="S27" s="99"/>
      <c r="T27" s="99"/>
      <c r="U27" s="101"/>
      <c r="V27" s="101"/>
      <c r="W27" s="101"/>
      <c r="X27" s="101"/>
      <c r="Y27" s="101"/>
      <c r="Z27" s="71"/>
    </row>
    <row r="28" spans="1:35" ht="13.5" thickTop="1" x14ac:dyDescent="0.2">
      <c r="A28" s="102">
        <v>1</v>
      </c>
      <c r="B28" s="103">
        <f t="shared" ref="B28:B56" si="2">G28+H28-D28-K28</f>
        <v>0</v>
      </c>
      <c r="C28" s="104">
        <f>L27</f>
        <v>0</v>
      </c>
      <c r="D28" s="103">
        <f t="shared" ref="D28:D91" si="3">IF(Y28&lt;&gt;"-",$B$2,0)</f>
        <v>0</v>
      </c>
      <c r="E28" s="103">
        <f t="shared" ref="E28:E91" si="4">C28*(1+$B$9)^(1/12)-C28-F28</f>
        <v>0</v>
      </c>
      <c r="F28" s="103">
        <f t="shared" ref="F28:F91" si="5">C28*(1+$B$10)^(1/12)-C28</f>
        <v>0</v>
      </c>
      <c r="G28" s="105">
        <f>IF(SUM(K$27:K27)&gt;0,0,IF(Y28&lt;&gt;"-",$B$3,0))</f>
        <v>0</v>
      </c>
      <c r="H28" s="105">
        <f t="shared" ref="H28:H91" si="6">IF($B$7="No",F28,0)</f>
        <v>0</v>
      </c>
      <c r="I28" s="105">
        <f>IF( A28&lt;12,($B$4+$B$6)*D28,IF(MOD(A28,12)=1,$B$8+($B$4+$B$6)*D28,($B$4+$B$6)*D28))</f>
        <v>0</v>
      </c>
      <c r="J28" s="105">
        <f t="shared" ref="J28:J91" si="7">VLOOKUP(C28,$D$3:$J$9,7,TRUE)-VLOOKUP(C28,$D$3:$J$9,4,TRUE)*(VLOOKUP(C28,$D$3:$J$9,2,TRUE)-C28)/12</f>
        <v>0</v>
      </c>
      <c r="K28" s="103">
        <f>MAX(SUM(G28:J28)-SUM(C28:F28),0)</f>
        <v>0</v>
      </c>
      <c r="L28" s="106">
        <f>SUM(C28:F28)-SUM(G28:J28)+K28</f>
        <v>0</v>
      </c>
      <c r="M28" s="103">
        <f>IF(SUM(K$28:K28)&gt;0,MIN(O27*(1+B$9)^(1/12),G$25-G28+K28),0)</f>
        <v>0</v>
      </c>
      <c r="N28" s="103">
        <f t="shared" ref="N28:N91" si="8">(O27-L27)*((1+B$9)^(1/12)-1)+J28+I28</f>
        <v>0</v>
      </c>
      <c r="O28" s="106">
        <f t="shared" ref="O28:O91" si="9">(O27)*(1+B$9)^(1/12)+D28-G28-H28-M28+K28/(1+B$9)</f>
        <v>0</v>
      </c>
      <c r="P28" s="103">
        <f>SUM(N$27:N28)</f>
        <v>0</v>
      </c>
      <c r="Q28" s="103">
        <f>Q27+D28</f>
        <v>0</v>
      </c>
      <c r="R28" s="103">
        <f>R27+G28</f>
        <v>0</v>
      </c>
      <c r="S28" s="103">
        <f>H28+S27</f>
        <v>0</v>
      </c>
      <c r="T28" s="103">
        <f>L28</f>
        <v>0</v>
      </c>
      <c r="U28" s="96" t="s">
        <v>67</v>
      </c>
      <c r="V28" s="96" t="str">
        <f t="shared" ref="V28:V91" si="10">IF(MOD(A28,3)=0,"q","-")</f>
        <v>-</v>
      </c>
      <c r="W28" s="96" t="str">
        <f>IF(MOD($A28,6)=0,"s","-")</f>
        <v>-</v>
      </c>
      <c r="X28" s="96" t="str">
        <f>IF(MOD($A28,12)=0,"a","-")</f>
        <v>-</v>
      </c>
      <c r="Y28" s="107" t="str">
        <f t="shared" ref="Y28:Y91" si="11">IF($B$15="Monthly",$U28,"")
&amp;IF($B$15="Quarterly",$V28,"")
&amp;IF($B$15="1/2 Yearly",$W28,"")
&amp;IF($B$15="Yearly",$X28,"")</f>
        <v/>
      </c>
      <c r="Z28" s="71"/>
    </row>
    <row r="29" spans="1:35" x14ac:dyDescent="0.2">
      <c r="A29" s="108">
        <v>2</v>
      </c>
      <c r="B29" s="109">
        <f t="shared" si="2"/>
        <v>0</v>
      </c>
      <c r="C29" s="104">
        <f>L28</f>
        <v>0</v>
      </c>
      <c r="D29" s="103">
        <f t="shared" si="3"/>
        <v>0</v>
      </c>
      <c r="E29" s="103">
        <f t="shared" si="4"/>
        <v>0</v>
      </c>
      <c r="F29" s="103">
        <f t="shared" si="5"/>
        <v>0</v>
      </c>
      <c r="G29" s="105">
        <f>IF(SUM(K$27:K28)&gt;0,0,IF(Y29&lt;&gt;"-",$B$3,0))</f>
        <v>0</v>
      </c>
      <c r="H29" s="105">
        <f t="shared" si="6"/>
        <v>0</v>
      </c>
      <c r="I29" s="105">
        <f t="shared" ref="I29:I92" si="12">IF( A29&lt;12,($B$4+$B$6)*D29,IF(MOD(A29,12)=1,$B$8+($B$4+$B$6)*D29,($B$4+$B$6)*D29))</f>
        <v>0</v>
      </c>
      <c r="J29" s="105">
        <f t="shared" si="7"/>
        <v>0</v>
      </c>
      <c r="K29" s="103">
        <f t="shared" ref="K29:K56" si="13">MAX(SUM(G29:J29)-SUM(C29:F29),0)</f>
        <v>0</v>
      </c>
      <c r="L29" s="106">
        <f>SUM(C29:F29)-SUM(G29:J29)+K29</f>
        <v>0</v>
      </c>
      <c r="M29" s="103">
        <f>IF(SUM(K$28:K29)&gt;0,MIN(O28*(1+B$9)^(1/12),G$25-G29+K29),0)</f>
        <v>0</v>
      </c>
      <c r="N29" s="103">
        <f t="shared" si="8"/>
        <v>0</v>
      </c>
      <c r="O29" s="106">
        <f t="shared" si="9"/>
        <v>0</v>
      </c>
      <c r="P29" s="103">
        <f>SUM(N$27:N29)</f>
        <v>0</v>
      </c>
      <c r="Q29" s="103">
        <f>Q28+D29</f>
        <v>0</v>
      </c>
      <c r="R29" s="103">
        <f t="shared" ref="R29:R92" si="14">R28+G29</f>
        <v>0</v>
      </c>
      <c r="S29" s="103">
        <f t="shared" ref="S29:S92" si="15">H29+S28</f>
        <v>0</v>
      </c>
      <c r="T29" s="103">
        <f t="shared" ref="T29:T92" si="16">L29</f>
        <v>0</v>
      </c>
      <c r="U29" s="96" t="s">
        <v>67</v>
      </c>
      <c r="V29" s="96" t="str">
        <f t="shared" si="10"/>
        <v>-</v>
      </c>
      <c r="W29" s="96" t="str">
        <f t="shared" ref="W29:W92" si="17">IF(MOD($A29,6)=0,"s","-")</f>
        <v>-</v>
      </c>
      <c r="X29" s="96" t="str">
        <f t="shared" ref="X29:X92" si="18">IF(MOD($A29,12)=0,"a","-")</f>
        <v>-</v>
      </c>
      <c r="Y29" s="107" t="str">
        <f t="shared" si="11"/>
        <v/>
      </c>
      <c r="Z29" s="71"/>
    </row>
    <row r="30" spans="1:35" x14ac:dyDescent="0.2">
      <c r="A30" s="108">
        <v>3</v>
      </c>
      <c r="B30" s="103">
        <f>G30+H30-D30-K30</f>
        <v>0</v>
      </c>
      <c r="C30" s="104">
        <f t="shared" ref="C30:C93" si="19">L29</f>
        <v>0</v>
      </c>
      <c r="D30" s="103">
        <f t="shared" si="3"/>
        <v>0</v>
      </c>
      <c r="E30" s="103">
        <f t="shared" si="4"/>
        <v>0</v>
      </c>
      <c r="F30" s="103">
        <f t="shared" si="5"/>
        <v>0</v>
      </c>
      <c r="G30" s="105">
        <f>IF(SUM(K$27:K29)&gt;0,0,IF(Y30&lt;&gt;"-",$B$3,0))</f>
        <v>0</v>
      </c>
      <c r="H30" s="105">
        <f t="shared" si="6"/>
        <v>0</v>
      </c>
      <c r="I30" s="105">
        <f t="shared" si="12"/>
        <v>0</v>
      </c>
      <c r="J30" s="105">
        <f t="shared" si="7"/>
        <v>0</v>
      </c>
      <c r="K30" s="103">
        <f t="shared" si="13"/>
        <v>0</v>
      </c>
      <c r="L30" s="106">
        <f t="shared" ref="L30:L56" si="20">SUM(C30:F30)-SUM(G30:J30)+K30</f>
        <v>0</v>
      </c>
      <c r="M30" s="103">
        <f>IF(SUM(K$28:K30)&gt;0,MIN(O29*(1+B$9)^(1/12),G$25-G30+K30),0)</f>
        <v>0</v>
      </c>
      <c r="N30" s="103">
        <f t="shared" si="8"/>
        <v>0</v>
      </c>
      <c r="O30" s="106">
        <f t="shared" si="9"/>
        <v>0</v>
      </c>
      <c r="P30" s="103">
        <f>SUM(N$27:N30)</f>
        <v>0</v>
      </c>
      <c r="Q30" s="103">
        <f>Q29+D30</f>
        <v>0</v>
      </c>
      <c r="R30" s="103">
        <f>R29+G30</f>
        <v>0</v>
      </c>
      <c r="S30" s="103">
        <f t="shared" si="15"/>
        <v>0</v>
      </c>
      <c r="T30" s="103">
        <f t="shared" si="16"/>
        <v>0</v>
      </c>
      <c r="U30" s="96" t="s">
        <v>67</v>
      </c>
      <c r="V30" s="96" t="str">
        <f t="shared" si="10"/>
        <v>q</v>
      </c>
      <c r="W30" s="96" t="str">
        <f t="shared" si="17"/>
        <v>-</v>
      </c>
      <c r="X30" s="96" t="str">
        <f t="shared" si="18"/>
        <v>-</v>
      </c>
      <c r="Y30" s="107" t="str">
        <f t="shared" si="11"/>
        <v/>
      </c>
      <c r="Z30" s="71"/>
    </row>
    <row r="31" spans="1:35" x14ac:dyDescent="0.2">
      <c r="A31" s="108">
        <v>4</v>
      </c>
      <c r="B31" s="103">
        <f t="shared" si="2"/>
        <v>0</v>
      </c>
      <c r="C31" s="104">
        <f t="shared" si="19"/>
        <v>0</v>
      </c>
      <c r="D31" s="103">
        <f t="shared" si="3"/>
        <v>0</v>
      </c>
      <c r="E31" s="103">
        <f t="shared" si="4"/>
        <v>0</v>
      </c>
      <c r="F31" s="103">
        <f t="shared" si="5"/>
        <v>0</v>
      </c>
      <c r="G31" s="105">
        <f>IF(SUM(K$27:K30)&gt;0,0,IF(Y31&lt;&gt;"-",$B$3,0))</f>
        <v>0</v>
      </c>
      <c r="H31" s="105">
        <f t="shared" si="6"/>
        <v>0</v>
      </c>
      <c r="I31" s="105">
        <f t="shared" si="12"/>
        <v>0</v>
      </c>
      <c r="J31" s="105">
        <f t="shared" si="7"/>
        <v>0</v>
      </c>
      <c r="K31" s="103">
        <f t="shared" si="13"/>
        <v>0</v>
      </c>
      <c r="L31" s="106">
        <f t="shared" si="20"/>
        <v>0</v>
      </c>
      <c r="M31" s="103">
        <f>IF(SUM(K$28:K31)&gt;0,MIN(O30*(1+B$9)^(1/12),G$25-G31+K31),0)</f>
        <v>0</v>
      </c>
      <c r="N31" s="103">
        <f t="shared" si="8"/>
        <v>0</v>
      </c>
      <c r="O31" s="106">
        <f t="shared" si="9"/>
        <v>0</v>
      </c>
      <c r="P31" s="103">
        <f>SUM(N$27:N31)</f>
        <v>0</v>
      </c>
      <c r="Q31" s="103">
        <f>Q30+D31</f>
        <v>0</v>
      </c>
      <c r="R31" s="103">
        <f t="shared" si="14"/>
        <v>0</v>
      </c>
      <c r="S31" s="103">
        <f>H31+S30</f>
        <v>0</v>
      </c>
      <c r="T31" s="103">
        <f>L31</f>
        <v>0</v>
      </c>
      <c r="U31" s="96" t="s">
        <v>67</v>
      </c>
      <c r="V31" s="96" t="str">
        <f t="shared" si="10"/>
        <v>-</v>
      </c>
      <c r="W31" s="96" t="str">
        <f t="shared" si="17"/>
        <v>-</v>
      </c>
      <c r="X31" s="96" t="str">
        <f t="shared" si="18"/>
        <v>-</v>
      </c>
      <c r="Y31" s="107" t="str">
        <f t="shared" si="11"/>
        <v/>
      </c>
      <c r="Z31" s="71"/>
    </row>
    <row r="32" spans="1:35" x14ac:dyDescent="0.2">
      <c r="A32" s="108">
        <v>5</v>
      </c>
      <c r="B32" s="103">
        <f>G32+H32-D32-K32</f>
        <v>0</v>
      </c>
      <c r="C32" s="104">
        <f t="shared" si="19"/>
        <v>0</v>
      </c>
      <c r="D32" s="103">
        <f t="shared" si="3"/>
        <v>0</v>
      </c>
      <c r="E32" s="103">
        <f t="shared" si="4"/>
        <v>0</v>
      </c>
      <c r="F32" s="103">
        <f t="shared" si="5"/>
        <v>0</v>
      </c>
      <c r="G32" s="105">
        <f>IF(SUM(K$27:K31)&gt;0,0,IF(Y32&lt;&gt;"-",$B$3,0))</f>
        <v>0</v>
      </c>
      <c r="H32" s="105">
        <f t="shared" si="6"/>
        <v>0</v>
      </c>
      <c r="I32" s="105">
        <f t="shared" si="12"/>
        <v>0</v>
      </c>
      <c r="J32" s="105">
        <f t="shared" si="7"/>
        <v>0</v>
      </c>
      <c r="K32" s="103">
        <f t="shared" si="13"/>
        <v>0</v>
      </c>
      <c r="L32" s="106">
        <f>SUM(C32:F32)-SUM(G32:J32)+K32</f>
        <v>0</v>
      </c>
      <c r="M32" s="103">
        <f>IF(SUM(K$28:K32)&gt;0,MIN(O31*(1+B$9)^(1/12),G$25-G32+K32),0)</f>
        <v>0</v>
      </c>
      <c r="N32" s="103">
        <f t="shared" si="8"/>
        <v>0</v>
      </c>
      <c r="O32" s="106">
        <f t="shared" si="9"/>
        <v>0</v>
      </c>
      <c r="P32" s="103">
        <f>SUM(N$27:N32)</f>
        <v>0</v>
      </c>
      <c r="Q32" s="103">
        <f t="shared" ref="Q32:Q95" si="21">Q31+D32</f>
        <v>0</v>
      </c>
      <c r="R32" s="103">
        <f t="shared" si="14"/>
        <v>0</v>
      </c>
      <c r="S32" s="103">
        <f t="shared" si="15"/>
        <v>0</v>
      </c>
      <c r="T32" s="103">
        <f t="shared" si="16"/>
        <v>0</v>
      </c>
      <c r="U32" s="96" t="s">
        <v>67</v>
      </c>
      <c r="V32" s="96" t="str">
        <f t="shared" si="10"/>
        <v>-</v>
      </c>
      <c r="W32" s="96" t="str">
        <f t="shared" si="17"/>
        <v>-</v>
      </c>
      <c r="X32" s="96" t="str">
        <f t="shared" si="18"/>
        <v>-</v>
      </c>
      <c r="Y32" s="107" t="str">
        <f t="shared" si="11"/>
        <v/>
      </c>
      <c r="Z32" s="71"/>
    </row>
    <row r="33" spans="1:26" x14ac:dyDescent="0.2">
      <c r="A33" s="108">
        <v>6</v>
      </c>
      <c r="B33" s="132">
        <f t="shared" si="2"/>
        <v>0</v>
      </c>
      <c r="C33" s="104">
        <f t="shared" si="19"/>
        <v>0</v>
      </c>
      <c r="D33" s="103">
        <f t="shared" si="3"/>
        <v>0</v>
      </c>
      <c r="E33" s="103">
        <f t="shared" si="4"/>
        <v>0</v>
      </c>
      <c r="F33" s="103">
        <f t="shared" si="5"/>
        <v>0</v>
      </c>
      <c r="G33" s="105">
        <f>IF(SUM(K$27:K32)&gt;0,0,IF(Y33&lt;&gt;"-",$B$3,0))</f>
        <v>0</v>
      </c>
      <c r="H33" s="105">
        <f t="shared" si="6"/>
        <v>0</v>
      </c>
      <c r="I33" s="105">
        <f t="shared" si="12"/>
        <v>0</v>
      </c>
      <c r="J33" s="105">
        <f t="shared" si="7"/>
        <v>0</v>
      </c>
      <c r="K33" s="103">
        <f t="shared" si="13"/>
        <v>0</v>
      </c>
      <c r="L33" s="106">
        <f t="shared" si="20"/>
        <v>0</v>
      </c>
      <c r="M33" s="103">
        <f>IF(SUM(K$28:K33)&gt;0,MIN(O32*(1+B$9)^(1/12),G$25-G33+K33),0)</f>
        <v>0</v>
      </c>
      <c r="N33" s="103">
        <f t="shared" si="8"/>
        <v>0</v>
      </c>
      <c r="O33" s="106">
        <f t="shared" si="9"/>
        <v>0</v>
      </c>
      <c r="P33" s="103">
        <f>SUM(N$27:N33)</f>
        <v>0</v>
      </c>
      <c r="Q33" s="103">
        <f t="shared" si="21"/>
        <v>0</v>
      </c>
      <c r="R33" s="103">
        <f t="shared" si="14"/>
        <v>0</v>
      </c>
      <c r="S33" s="103">
        <f t="shared" si="15"/>
        <v>0</v>
      </c>
      <c r="T33" s="103">
        <f t="shared" si="16"/>
        <v>0</v>
      </c>
      <c r="U33" s="96" t="s">
        <v>67</v>
      </c>
      <c r="V33" s="96" t="str">
        <f t="shared" si="10"/>
        <v>q</v>
      </c>
      <c r="W33" s="96" t="str">
        <f t="shared" si="17"/>
        <v>s</v>
      </c>
      <c r="X33" s="96" t="str">
        <f t="shared" si="18"/>
        <v>-</v>
      </c>
      <c r="Y33" s="107" t="str">
        <f t="shared" si="11"/>
        <v/>
      </c>
      <c r="Z33" s="71"/>
    </row>
    <row r="34" spans="1:26" x14ac:dyDescent="0.2">
      <c r="A34" s="108">
        <v>7</v>
      </c>
      <c r="B34" s="132">
        <f t="shared" si="2"/>
        <v>0</v>
      </c>
      <c r="C34" s="104">
        <f t="shared" si="19"/>
        <v>0</v>
      </c>
      <c r="D34" s="103">
        <f t="shared" si="3"/>
        <v>0</v>
      </c>
      <c r="E34" s="103">
        <f t="shared" si="4"/>
        <v>0</v>
      </c>
      <c r="F34" s="103">
        <f t="shared" si="5"/>
        <v>0</v>
      </c>
      <c r="G34" s="105">
        <f>IF(SUM(K$27:K33)&gt;0,0,IF(Y34&lt;&gt;"-",$B$3,0))</f>
        <v>0</v>
      </c>
      <c r="H34" s="105">
        <f t="shared" si="6"/>
        <v>0</v>
      </c>
      <c r="I34" s="105">
        <f t="shared" si="12"/>
        <v>0</v>
      </c>
      <c r="J34" s="105">
        <f t="shared" si="7"/>
        <v>0</v>
      </c>
      <c r="K34" s="103">
        <f t="shared" si="13"/>
        <v>0</v>
      </c>
      <c r="L34" s="106">
        <f t="shared" si="20"/>
        <v>0</v>
      </c>
      <c r="M34" s="103">
        <f>IF(SUM(K$28:K34)&gt;0,MIN(O33*(1+B$9)^(1/12),G$25-G34+K34),0)</f>
        <v>0</v>
      </c>
      <c r="N34" s="103">
        <f t="shared" si="8"/>
        <v>0</v>
      </c>
      <c r="O34" s="106">
        <f t="shared" si="9"/>
        <v>0</v>
      </c>
      <c r="P34" s="103">
        <f>SUM(N$27:N34)</f>
        <v>0</v>
      </c>
      <c r="Q34" s="103">
        <f t="shared" si="21"/>
        <v>0</v>
      </c>
      <c r="R34" s="103">
        <f t="shared" si="14"/>
        <v>0</v>
      </c>
      <c r="S34" s="103">
        <f t="shared" si="15"/>
        <v>0</v>
      </c>
      <c r="T34" s="103">
        <f t="shared" si="16"/>
        <v>0</v>
      </c>
      <c r="U34" s="96" t="s">
        <v>67</v>
      </c>
      <c r="V34" s="96" t="str">
        <f t="shared" si="10"/>
        <v>-</v>
      </c>
      <c r="W34" s="96" t="str">
        <f t="shared" si="17"/>
        <v>-</v>
      </c>
      <c r="X34" s="96" t="str">
        <f t="shared" si="18"/>
        <v>-</v>
      </c>
      <c r="Y34" s="107" t="str">
        <f t="shared" si="11"/>
        <v/>
      </c>
      <c r="Z34" s="71"/>
    </row>
    <row r="35" spans="1:26" x14ac:dyDescent="0.2">
      <c r="A35" s="108">
        <v>8</v>
      </c>
      <c r="B35" s="132">
        <f t="shared" si="2"/>
        <v>0</v>
      </c>
      <c r="C35" s="104">
        <f t="shared" si="19"/>
        <v>0</v>
      </c>
      <c r="D35" s="103">
        <f t="shared" si="3"/>
        <v>0</v>
      </c>
      <c r="E35" s="103">
        <f t="shared" si="4"/>
        <v>0</v>
      </c>
      <c r="F35" s="103">
        <f t="shared" si="5"/>
        <v>0</v>
      </c>
      <c r="G35" s="105">
        <f>IF(SUM(K$27:K34)&gt;0,0,IF(Y35&lt;&gt;"-",$B$3,0))</f>
        <v>0</v>
      </c>
      <c r="H35" s="105">
        <f t="shared" si="6"/>
        <v>0</v>
      </c>
      <c r="I35" s="105">
        <f t="shared" si="12"/>
        <v>0</v>
      </c>
      <c r="J35" s="105">
        <f t="shared" si="7"/>
        <v>0</v>
      </c>
      <c r="K35" s="103">
        <f t="shared" si="13"/>
        <v>0</v>
      </c>
      <c r="L35" s="106">
        <f t="shared" si="20"/>
        <v>0</v>
      </c>
      <c r="M35" s="103">
        <f>IF(SUM(K$28:K35)&gt;0,MIN(O34*(1+B$9)^(1/12),G$25-G35+K35),0)</f>
        <v>0</v>
      </c>
      <c r="N35" s="103">
        <f t="shared" si="8"/>
        <v>0</v>
      </c>
      <c r="O35" s="106">
        <f t="shared" si="9"/>
        <v>0</v>
      </c>
      <c r="P35" s="103">
        <f>SUM(N$27:N35)</f>
        <v>0</v>
      </c>
      <c r="Q35" s="103">
        <f t="shared" si="21"/>
        <v>0</v>
      </c>
      <c r="R35" s="103">
        <f t="shared" si="14"/>
        <v>0</v>
      </c>
      <c r="S35" s="103">
        <f t="shared" si="15"/>
        <v>0</v>
      </c>
      <c r="T35" s="103">
        <f t="shared" si="16"/>
        <v>0</v>
      </c>
      <c r="U35" s="96" t="s">
        <v>67</v>
      </c>
      <c r="V35" s="96" t="str">
        <f t="shared" si="10"/>
        <v>-</v>
      </c>
      <c r="W35" s="96" t="str">
        <f t="shared" si="17"/>
        <v>-</v>
      </c>
      <c r="X35" s="96" t="str">
        <f t="shared" si="18"/>
        <v>-</v>
      </c>
      <c r="Y35" s="107" t="str">
        <f t="shared" si="11"/>
        <v/>
      </c>
      <c r="Z35" s="71"/>
    </row>
    <row r="36" spans="1:26" x14ac:dyDescent="0.2">
      <c r="A36" s="108">
        <v>9</v>
      </c>
      <c r="B36" s="132">
        <f t="shared" si="2"/>
        <v>0</v>
      </c>
      <c r="C36" s="104">
        <f t="shared" si="19"/>
        <v>0</v>
      </c>
      <c r="D36" s="103">
        <f t="shared" si="3"/>
        <v>0</v>
      </c>
      <c r="E36" s="103">
        <f t="shared" si="4"/>
        <v>0</v>
      </c>
      <c r="F36" s="103">
        <f t="shared" si="5"/>
        <v>0</v>
      </c>
      <c r="G36" s="105">
        <f>IF(SUM(K$27:K35)&gt;0,0,IF(Y36&lt;&gt;"-",$B$3,0))</f>
        <v>0</v>
      </c>
      <c r="H36" s="105">
        <f t="shared" si="6"/>
        <v>0</v>
      </c>
      <c r="I36" s="105">
        <f t="shared" si="12"/>
        <v>0</v>
      </c>
      <c r="J36" s="105">
        <f t="shared" si="7"/>
        <v>0</v>
      </c>
      <c r="K36" s="103">
        <f t="shared" si="13"/>
        <v>0</v>
      </c>
      <c r="L36" s="106">
        <f t="shared" si="20"/>
        <v>0</v>
      </c>
      <c r="M36" s="103">
        <f>IF(SUM(K$28:K36)&gt;0,MIN(O35*(1+B$9)^(1/12),G$25-G36+K36),0)</f>
        <v>0</v>
      </c>
      <c r="N36" s="103">
        <f t="shared" si="8"/>
        <v>0</v>
      </c>
      <c r="O36" s="106">
        <f t="shared" si="9"/>
        <v>0</v>
      </c>
      <c r="P36" s="103">
        <f>SUM(N$27:N36)</f>
        <v>0</v>
      </c>
      <c r="Q36" s="103">
        <f t="shared" si="21"/>
        <v>0</v>
      </c>
      <c r="R36" s="103">
        <f t="shared" si="14"/>
        <v>0</v>
      </c>
      <c r="S36" s="103">
        <f t="shared" si="15"/>
        <v>0</v>
      </c>
      <c r="T36" s="103">
        <f t="shared" si="16"/>
        <v>0</v>
      </c>
      <c r="U36" s="96" t="s">
        <v>67</v>
      </c>
      <c r="V36" s="96" t="str">
        <f t="shared" si="10"/>
        <v>q</v>
      </c>
      <c r="W36" s="96" t="str">
        <f t="shared" si="17"/>
        <v>-</v>
      </c>
      <c r="X36" s="96" t="str">
        <f t="shared" si="18"/>
        <v>-</v>
      </c>
      <c r="Y36" s="107" t="str">
        <f t="shared" si="11"/>
        <v/>
      </c>
      <c r="Z36" s="71"/>
    </row>
    <row r="37" spans="1:26" x14ac:dyDescent="0.2">
      <c r="A37" s="108">
        <v>10</v>
      </c>
      <c r="B37" s="132">
        <f t="shared" si="2"/>
        <v>0</v>
      </c>
      <c r="C37" s="104">
        <f t="shared" si="19"/>
        <v>0</v>
      </c>
      <c r="D37" s="103">
        <f t="shared" si="3"/>
        <v>0</v>
      </c>
      <c r="E37" s="103">
        <f t="shared" si="4"/>
        <v>0</v>
      </c>
      <c r="F37" s="103">
        <f t="shared" si="5"/>
        <v>0</v>
      </c>
      <c r="G37" s="105">
        <f>IF(SUM(K$27:K36)&gt;0,0,IF(Y37&lt;&gt;"-",$B$3,0))</f>
        <v>0</v>
      </c>
      <c r="H37" s="105">
        <f t="shared" si="6"/>
        <v>0</v>
      </c>
      <c r="I37" s="105">
        <f t="shared" si="12"/>
        <v>0</v>
      </c>
      <c r="J37" s="105">
        <f t="shared" si="7"/>
        <v>0</v>
      </c>
      <c r="K37" s="103">
        <f t="shared" si="13"/>
        <v>0</v>
      </c>
      <c r="L37" s="106">
        <f t="shared" si="20"/>
        <v>0</v>
      </c>
      <c r="M37" s="103">
        <f>IF(SUM(K$28:K37)&gt;0,MIN(O36*(1+B$9)^(1/12),G$25-G37+K37),0)</f>
        <v>0</v>
      </c>
      <c r="N37" s="103">
        <f t="shared" si="8"/>
        <v>0</v>
      </c>
      <c r="O37" s="106">
        <f t="shared" si="9"/>
        <v>0</v>
      </c>
      <c r="P37" s="103">
        <f>SUM(N$27:N37)</f>
        <v>0</v>
      </c>
      <c r="Q37" s="103">
        <f t="shared" si="21"/>
        <v>0</v>
      </c>
      <c r="R37" s="103">
        <f t="shared" si="14"/>
        <v>0</v>
      </c>
      <c r="S37" s="103">
        <f t="shared" si="15"/>
        <v>0</v>
      </c>
      <c r="T37" s="103">
        <f t="shared" si="16"/>
        <v>0</v>
      </c>
      <c r="U37" s="96" t="s">
        <v>67</v>
      </c>
      <c r="V37" s="96" t="str">
        <f t="shared" si="10"/>
        <v>-</v>
      </c>
      <c r="W37" s="96" t="str">
        <f t="shared" si="17"/>
        <v>-</v>
      </c>
      <c r="X37" s="96" t="str">
        <f t="shared" si="18"/>
        <v>-</v>
      </c>
      <c r="Y37" s="107" t="str">
        <f t="shared" si="11"/>
        <v/>
      </c>
      <c r="Z37" s="71"/>
    </row>
    <row r="38" spans="1:26" x14ac:dyDescent="0.2">
      <c r="A38" s="108">
        <v>11</v>
      </c>
      <c r="B38" s="132">
        <f t="shared" si="2"/>
        <v>0</v>
      </c>
      <c r="C38" s="104">
        <f t="shared" si="19"/>
        <v>0</v>
      </c>
      <c r="D38" s="103">
        <f t="shared" si="3"/>
        <v>0</v>
      </c>
      <c r="E38" s="103">
        <f t="shared" si="4"/>
        <v>0</v>
      </c>
      <c r="F38" s="103">
        <f t="shared" si="5"/>
        <v>0</v>
      </c>
      <c r="G38" s="105">
        <f>IF(SUM(K$27:K37)&gt;0,0,IF(Y38&lt;&gt;"-",$B$3,0))</f>
        <v>0</v>
      </c>
      <c r="H38" s="105">
        <f t="shared" si="6"/>
        <v>0</v>
      </c>
      <c r="I38" s="105">
        <f t="shared" si="12"/>
        <v>0</v>
      </c>
      <c r="J38" s="105">
        <f t="shared" si="7"/>
        <v>0</v>
      </c>
      <c r="K38" s="103">
        <f t="shared" si="13"/>
        <v>0</v>
      </c>
      <c r="L38" s="106">
        <f t="shared" si="20"/>
        <v>0</v>
      </c>
      <c r="M38" s="103">
        <f>IF(SUM(K$28:K38)&gt;0,MIN(O37*(1+B$9)^(1/12),G$25-G38+K38),0)</f>
        <v>0</v>
      </c>
      <c r="N38" s="103">
        <f t="shared" si="8"/>
        <v>0</v>
      </c>
      <c r="O38" s="106">
        <f t="shared" si="9"/>
        <v>0</v>
      </c>
      <c r="P38" s="103">
        <f>SUM(N$27:N38)</f>
        <v>0</v>
      </c>
      <c r="Q38" s="103">
        <f t="shared" si="21"/>
        <v>0</v>
      </c>
      <c r="R38" s="103">
        <f t="shared" si="14"/>
        <v>0</v>
      </c>
      <c r="S38" s="103">
        <f t="shared" si="15"/>
        <v>0</v>
      </c>
      <c r="T38" s="103">
        <f t="shared" si="16"/>
        <v>0</v>
      </c>
      <c r="U38" s="96" t="s">
        <v>67</v>
      </c>
      <c r="V38" s="96" t="str">
        <f t="shared" si="10"/>
        <v>-</v>
      </c>
      <c r="W38" s="96" t="str">
        <f t="shared" si="17"/>
        <v>-</v>
      </c>
      <c r="X38" s="96" t="str">
        <f t="shared" si="18"/>
        <v>-</v>
      </c>
      <c r="Y38" s="107" t="str">
        <f t="shared" si="11"/>
        <v/>
      </c>
      <c r="Z38" s="71"/>
    </row>
    <row r="39" spans="1:26" x14ac:dyDescent="0.2">
      <c r="A39" s="110">
        <v>12</v>
      </c>
      <c r="B39" s="111">
        <f t="shared" si="2"/>
        <v>0</v>
      </c>
      <c r="C39" s="111">
        <f t="shared" si="19"/>
        <v>0</v>
      </c>
      <c r="D39" s="111">
        <f t="shared" si="3"/>
        <v>0</v>
      </c>
      <c r="E39" s="111">
        <f t="shared" si="4"/>
        <v>0</v>
      </c>
      <c r="F39" s="111">
        <f t="shared" si="5"/>
        <v>0</v>
      </c>
      <c r="G39" s="112">
        <f>IF(SUM(K$27:K38)&gt;0,0,IF(Y39&lt;&gt;"-",$B$3,0))</f>
        <v>0</v>
      </c>
      <c r="H39" s="112">
        <f t="shared" si="6"/>
        <v>0</v>
      </c>
      <c r="I39" s="112">
        <f t="shared" si="12"/>
        <v>0</v>
      </c>
      <c r="J39" s="112">
        <f t="shared" si="7"/>
        <v>0</v>
      </c>
      <c r="K39" s="111">
        <f t="shared" si="13"/>
        <v>0</v>
      </c>
      <c r="L39" s="113">
        <f>SUM(C39:F39)-SUM(G39:J39)+K39</f>
        <v>0</v>
      </c>
      <c r="M39" s="111">
        <f>IF(SUM(K$28:K39)&gt;0,MIN(O38*(1+B$9)^(1/12),G$25-G39+K39),0)</f>
        <v>0</v>
      </c>
      <c r="N39" s="111">
        <f t="shared" si="8"/>
        <v>0</v>
      </c>
      <c r="O39" s="113">
        <f t="shared" si="9"/>
        <v>0</v>
      </c>
      <c r="P39" s="111">
        <f>SUM(N$27:N39)</f>
        <v>0</v>
      </c>
      <c r="Q39" s="111">
        <f>Q38+D39</f>
        <v>0</v>
      </c>
      <c r="R39" s="111">
        <f>R38+G39</f>
        <v>0</v>
      </c>
      <c r="S39" s="111">
        <f>H39+S38</f>
        <v>0</v>
      </c>
      <c r="T39" s="111">
        <f t="shared" si="16"/>
        <v>0</v>
      </c>
      <c r="U39" s="101" t="s">
        <v>67</v>
      </c>
      <c r="V39" s="101" t="str">
        <f t="shared" si="10"/>
        <v>q</v>
      </c>
      <c r="W39" s="101" t="str">
        <f t="shared" si="17"/>
        <v>s</v>
      </c>
      <c r="X39" s="101" t="str">
        <f t="shared" si="18"/>
        <v>a</v>
      </c>
      <c r="Y39" s="107" t="str">
        <f t="shared" si="11"/>
        <v/>
      </c>
      <c r="Z39" s="71"/>
    </row>
    <row r="40" spans="1:26" x14ac:dyDescent="0.2">
      <c r="A40" s="108">
        <v>13</v>
      </c>
      <c r="B40" s="132">
        <f t="shared" si="2"/>
        <v>0</v>
      </c>
      <c r="C40" s="104">
        <f t="shared" si="19"/>
        <v>0</v>
      </c>
      <c r="D40" s="132">
        <f t="shared" si="3"/>
        <v>0</v>
      </c>
      <c r="E40" s="132">
        <f t="shared" si="4"/>
        <v>0</v>
      </c>
      <c r="F40" s="132">
        <f t="shared" si="5"/>
        <v>0</v>
      </c>
      <c r="G40" s="114">
        <f>IF(SUM(K$27:K39)&gt;0,0,IF(Y40&lt;&gt;"-",$B$3,0))</f>
        <v>0</v>
      </c>
      <c r="H40" s="114">
        <f t="shared" si="6"/>
        <v>0</v>
      </c>
      <c r="I40" s="105">
        <f t="shared" si="12"/>
        <v>0</v>
      </c>
      <c r="J40" s="105">
        <f t="shared" si="7"/>
        <v>0</v>
      </c>
      <c r="K40" s="132">
        <f t="shared" si="13"/>
        <v>0</v>
      </c>
      <c r="L40" s="133">
        <f t="shared" si="20"/>
        <v>0</v>
      </c>
      <c r="M40" s="132">
        <f>IF(SUM(K$28:K40)&gt;0,MIN(O39*(1+B$9)^(1/12),G$25-G40+K40),0)</f>
        <v>0</v>
      </c>
      <c r="N40" s="132">
        <f t="shared" si="8"/>
        <v>0</v>
      </c>
      <c r="O40" s="133">
        <f t="shared" si="9"/>
        <v>0</v>
      </c>
      <c r="P40" s="103">
        <f>SUM(N$27:N40)</f>
        <v>0</v>
      </c>
      <c r="Q40" s="103">
        <f t="shared" si="21"/>
        <v>0</v>
      </c>
      <c r="R40" s="103">
        <f t="shared" si="14"/>
        <v>0</v>
      </c>
      <c r="S40" s="103">
        <f t="shared" si="15"/>
        <v>0</v>
      </c>
      <c r="T40" s="103">
        <f t="shared" si="16"/>
        <v>0</v>
      </c>
      <c r="U40" s="96" t="s">
        <v>67</v>
      </c>
      <c r="V40" s="96" t="str">
        <f t="shared" si="10"/>
        <v>-</v>
      </c>
      <c r="W40" s="96" t="str">
        <f t="shared" si="17"/>
        <v>-</v>
      </c>
      <c r="X40" s="96" t="str">
        <f t="shared" si="18"/>
        <v>-</v>
      </c>
      <c r="Y40" s="107" t="str">
        <f t="shared" si="11"/>
        <v/>
      </c>
      <c r="Z40" s="71"/>
    </row>
    <row r="41" spans="1:26" x14ac:dyDescent="0.2">
      <c r="A41" s="108">
        <v>14</v>
      </c>
      <c r="B41" s="132">
        <f t="shared" si="2"/>
        <v>0</v>
      </c>
      <c r="C41" s="104">
        <f t="shared" si="19"/>
        <v>0</v>
      </c>
      <c r="D41" s="132">
        <f t="shared" si="3"/>
        <v>0</v>
      </c>
      <c r="E41" s="132">
        <f t="shared" si="4"/>
        <v>0</v>
      </c>
      <c r="F41" s="132">
        <f t="shared" si="5"/>
        <v>0</v>
      </c>
      <c r="G41" s="114">
        <f>IF(SUM(K$27:K40)&gt;0,0,IF(Y41&lt;&gt;"-",$B$3,0))</f>
        <v>0</v>
      </c>
      <c r="H41" s="114">
        <f t="shared" si="6"/>
        <v>0</v>
      </c>
      <c r="I41" s="105">
        <f t="shared" si="12"/>
        <v>0</v>
      </c>
      <c r="J41" s="105">
        <f t="shared" si="7"/>
        <v>0</v>
      </c>
      <c r="K41" s="132">
        <f t="shared" si="13"/>
        <v>0</v>
      </c>
      <c r="L41" s="133">
        <f t="shared" si="20"/>
        <v>0</v>
      </c>
      <c r="M41" s="132">
        <f>IF(SUM(K$28:K41)&gt;0,MIN(O40*(1+B$9)^(1/12),G$25-G41+K41),0)</f>
        <v>0</v>
      </c>
      <c r="N41" s="132">
        <f t="shared" si="8"/>
        <v>0</v>
      </c>
      <c r="O41" s="133">
        <f t="shared" si="9"/>
        <v>0</v>
      </c>
      <c r="P41" s="103">
        <f>SUM(N$27:N41)</f>
        <v>0</v>
      </c>
      <c r="Q41" s="103">
        <f t="shared" si="21"/>
        <v>0</v>
      </c>
      <c r="R41" s="103">
        <f t="shared" si="14"/>
        <v>0</v>
      </c>
      <c r="S41" s="103">
        <f t="shared" si="15"/>
        <v>0</v>
      </c>
      <c r="T41" s="103">
        <f t="shared" si="16"/>
        <v>0</v>
      </c>
      <c r="U41" s="96" t="s">
        <v>67</v>
      </c>
      <c r="V41" s="96" t="str">
        <f t="shared" si="10"/>
        <v>-</v>
      </c>
      <c r="W41" s="96" t="str">
        <f t="shared" si="17"/>
        <v>-</v>
      </c>
      <c r="X41" s="96" t="str">
        <f t="shared" si="18"/>
        <v>-</v>
      </c>
      <c r="Y41" s="107" t="str">
        <f t="shared" si="11"/>
        <v/>
      </c>
      <c r="Z41" s="71"/>
    </row>
    <row r="42" spans="1:26" x14ac:dyDescent="0.2">
      <c r="A42" s="108">
        <v>15</v>
      </c>
      <c r="B42" s="132">
        <f t="shared" si="2"/>
        <v>0</v>
      </c>
      <c r="C42" s="104">
        <f t="shared" si="19"/>
        <v>0</v>
      </c>
      <c r="D42" s="132">
        <f t="shared" si="3"/>
        <v>0</v>
      </c>
      <c r="E42" s="132">
        <f t="shared" si="4"/>
        <v>0</v>
      </c>
      <c r="F42" s="132">
        <f t="shared" si="5"/>
        <v>0</v>
      </c>
      <c r="G42" s="114">
        <f>IF(SUM(K$27:K41)&gt;0,0,IF(Y42&lt;&gt;"-",$B$3,0))</f>
        <v>0</v>
      </c>
      <c r="H42" s="114">
        <f t="shared" si="6"/>
        <v>0</v>
      </c>
      <c r="I42" s="105">
        <f t="shared" si="12"/>
        <v>0</v>
      </c>
      <c r="J42" s="105">
        <f t="shared" si="7"/>
        <v>0</v>
      </c>
      <c r="K42" s="132">
        <f t="shared" si="13"/>
        <v>0</v>
      </c>
      <c r="L42" s="133">
        <f t="shared" si="20"/>
        <v>0</v>
      </c>
      <c r="M42" s="132">
        <f>IF(SUM(K$28:K42)&gt;0,MIN(O41*(1+B$9)^(1/12),G$25-G42+K42),0)</f>
        <v>0</v>
      </c>
      <c r="N42" s="132">
        <f t="shared" si="8"/>
        <v>0</v>
      </c>
      <c r="O42" s="133">
        <f t="shared" si="9"/>
        <v>0</v>
      </c>
      <c r="P42" s="103">
        <f>SUM(N$27:N42)</f>
        <v>0</v>
      </c>
      <c r="Q42" s="103">
        <f t="shared" si="21"/>
        <v>0</v>
      </c>
      <c r="R42" s="103">
        <f t="shared" si="14"/>
        <v>0</v>
      </c>
      <c r="S42" s="103">
        <f t="shared" si="15"/>
        <v>0</v>
      </c>
      <c r="T42" s="103">
        <f t="shared" si="16"/>
        <v>0</v>
      </c>
      <c r="U42" s="96" t="s">
        <v>67</v>
      </c>
      <c r="V42" s="96" t="str">
        <f t="shared" si="10"/>
        <v>q</v>
      </c>
      <c r="W42" s="96" t="str">
        <f t="shared" si="17"/>
        <v>-</v>
      </c>
      <c r="X42" s="96" t="str">
        <f t="shared" si="18"/>
        <v>-</v>
      </c>
      <c r="Y42" s="107" t="str">
        <f t="shared" si="11"/>
        <v/>
      </c>
      <c r="Z42" s="71"/>
    </row>
    <row r="43" spans="1:26" x14ac:dyDescent="0.2">
      <c r="A43" s="108">
        <v>16</v>
      </c>
      <c r="B43" s="132">
        <f t="shared" si="2"/>
        <v>0</v>
      </c>
      <c r="C43" s="104">
        <f t="shared" si="19"/>
        <v>0</v>
      </c>
      <c r="D43" s="132">
        <f t="shared" si="3"/>
        <v>0</v>
      </c>
      <c r="E43" s="132">
        <f t="shared" si="4"/>
        <v>0</v>
      </c>
      <c r="F43" s="132">
        <f t="shared" si="5"/>
        <v>0</v>
      </c>
      <c r="G43" s="114">
        <f>IF(SUM(K$27:K42)&gt;0,0,IF(Y43&lt;&gt;"-",$B$3,0))</f>
        <v>0</v>
      </c>
      <c r="H43" s="114">
        <f t="shared" si="6"/>
        <v>0</v>
      </c>
      <c r="I43" s="105">
        <f t="shared" si="12"/>
        <v>0</v>
      </c>
      <c r="J43" s="105">
        <f t="shared" si="7"/>
        <v>0</v>
      </c>
      <c r="K43" s="132">
        <f t="shared" si="13"/>
        <v>0</v>
      </c>
      <c r="L43" s="133">
        <f t="shared" si="20"/>
        <v>0</v>
      </c>
      <c r="M43" s="132">
        <f>IF(SUM(K$28:K43)&gt;0,MIN(O42*(1+B$9)^(1/12),G$25-G43+K43),0)</f>
        <v>0</v>
      </c>
      <c r="N43" s="132">
        <f t="shared" si="8"/>
        <v>0</v>
      </c>
      <c r="O43" s="133">
        <f t="shared" si="9"/>
        <v>0</v>
      </c>
      <c r="P43" s="103">
        <f>SUM(N$27:N43)</f>
        <v>0</v>
      </c>
      <c r="Q43" s="103">
        <f t="shared" si="21"/>
        <v>0</v>
      </c>
      <c r="R43" s="103">
        <f t="shared" si="14"/>
        <v>0</v>
      </c>
      <c r="S43" s="103">
        <f t="shared" si="15"/>
        <v>0</v>
      </c>
      <c r="T43" s="103">
        <f t="shared" si="16"/>
        <v>0</v>
      </c>
      <c r="U43" s="96" t="s">
        <v>67</v>
      </c>
      <c r="V43" s="96" t="str">
        <f t="shared" si="10"/>
        <v>-</v>
      </c>
      <c r="W43" s="96" t="str">
        <f t="shared" si="17"/>
        <v>-</v>
      </c>
      <c r="X43" s="96" t="str">
        <f t="shared" si="18"/>
        <v>-</v>
      </c>
      <c r="Y43" s="107" t="str">
        <f t="shared" si="11"/>
        <v/>
      </c>
      <c r="Z43" s="71"/>
    </row>
    <row r="44" spans="1:26" x14ac:dyDescent="0.2">
      <c r="A44" s="108">
        <v>17</v>
      </c>
      <c r="B44" s="132">
        <f t="shared" si="2"/>
        <v>0</v>
      </c>
      <c r="C44" s="104">
        <f t="shared" si="19"/>
        <v>0</v>
      </c>
      <c r="D44" s="132">
        <f t="shared" si="3"/>
        <v>0</v>
      </c>
      <c r="E44" s="132">
        <f t="shared" si="4"/>
        <v>0</v>
      </c>
      <c r="F44" s="132">
        <f t="shared" si="5"/>
        <v>0</v>
      </c>
      <c r="G44" s="114">
        <f>IF(SUM(K$27:K43)&gt;0,0,IF(Y44&lt;&gt;"-",$B$3,0))</f>
        <v>0</v>
      </c>
      <c r="H44" s="114">
        <f t="shared" si="6"/>
        <v>0</v>
      </c>
      <c r="I44" s="105">
        <f t="shared" si="12"/>
        <v>0</v>
      </c>
      <c r="J44" s="105">
        <f t="shared" si="7"/>
        <v>0</v>
      </c>
      <c r="K44" s="132">
        <f t="shared" si="13"/>
        <v>0</v>
      </c>
      <c r="L44" s="133">
        <f t="shared" si="20"/>
        <v>0</v>
      </c>
      <c r="M44" s="132">
        <f>IF(SUM(K$28:K44)&gt;0,MIN(O43*(1+B$9)^(1/12),G$25-G44+K44),0)</f>
        <v>0</v>
      </c>
      <c r="N44" s="132">
        <f t="shared" si="8"/>
        <v>0</v>
      </c>
      <c r="O44" s="133">
        <f t="shared" si="9"/>
        <v>0</v>
      </c>
      <c r="P44" s="103">
        <f>SUM(N$27:N44)</f>
        <v>0</v>
      </c>
      <c r="Q44" s="103">
        <f t="shared" si="21"/>
        <v>0</v>
      </c>
      <c r="R44" s="103">
        <f t="shared" si="14"/>
        <v>0</v>
      </c>
      <c r="S44" s="103">
        <f t="shared" si="15"/>
        <v>0</v>
      </c>
      <c r="T44" s="103">
        <f t="shared" si="16"/>
        <v>0</v>
      </c>
      <c r="U44" s="96" t="s">
        <v>67</v>
      </c>
      <c r="V44" s="96" t="str">
        <f t="shared" si="10"/>
        <v>-</v>
      </c>
      <c r="W44" s="96" t="str">
        <f t="shared" si="17"/>
        <v>-</v>
      </c>
      <c r="X44" s="96" t="str">
        <f t="shared" si="18"/>
        <v>-</v>
      </c>
      <c r="Y44" s="107" t="str">
        <f t="shared" si="11"/>
        <v/>
      </c>
      <c r="Z44" s="71"/>
    </row>
    <row r="45" spans="1:26" x14ac:dyDescent="0.2">
      <c r="A45" s="108">
        <v>18</v>
      </c>
      <c r="B45" s="132">
        <f t="shared" si="2"/>
        <v>0</v>
      </c>
      <c r="C45" s="104">
        <f t="shared" si="19"/>
        <v>0</v>
      </c>
      <c r="D45" s="132">
        <f t="shared" si="3"/>
        <v>0</v>
      </c>
      <c r="E45" s="132">
        <f t="shared" si="4"/>
        <v>0</v>
      </c>
      <c r="F45" s="132">
        <f t="shared" si="5"/>
        <v>0</v>
      </c>
      <c r="G45" s="114">
        <f>IF(SUM(K$27:K44)&gt;0,0,IF(Y45&lt;&gt;"-",$B$3,0))</f>
        <v>0</v>
      </c>
      <c r="H45" s="114">
        <f t="shared" si="6"/>
        <v>0</v>
      </c>
      <c r="I45" s="105">
        <f t="shared" si="12"/>
        <v>0</v>
      </c>
      <c r="J45" s="105">
        <f t="shared" si="7"/>
        <v>0</v>
      </c>
      <c r="K45" s="132">
        <f t="shared" si="13"/>
        <v>0</v>
      </c>
      <c r="L45" s="133">
        <f t="shared" si="20"/>
        <v>0</v>
      </c>
      <c r="M45" s="132">
        <f>IF(SUM(K$28:K45)&gt;0,MIN(O44*(1+B$9)^(1/12),G$25-G45+K45),0)</f>
        <v>0</v>
      </c>
      <c r="N45" s="132">
        <f t="shared" si="8"/>
        <v>0</v>
      </c>
      <c r="O45" s="133">
        <f t="shared" si="9"/>
        <v>0</v>
      </c>
      <c r="P45" s="103">
        <f>SUM(N$27:N45)</f>
        <v>0</v>
      </c>
      <c r="Q45" s="103">
        <f t="shared" si="21"/>
        <v>0</v>
      </c>
      <c r="R45" s="103">
        <f t="shared" si="14"/>
        <v>0</v>
      </c>
      <c r="S45" s="103">
        <f t="shared" si="15"/>
        <v>0</v>
      </c>
      <c r="T45" s="103">
        <f t="shared" si="16"/>
        <v>0</v>
      </c>
      <c r="U45" s="96" t="s">
        <v>67</v>
      </c>
      <c r="V45" s="96" t="str">
        <f t="shared" si="10"/>
        <v>q</v>
      </c>
      <c r="W45" s="96" t="str">
        <f t="shared" si="17"/>
        <v>s</v>
      </c>
      <c r="X45" s="96" t="str">
        <f t="shared" si="18"/>
        <v>-</v>
      </c>
      <c r="Y45" s="107" t="str">
        <f t="shared" si="11"/>
        <v/>
      </c>
      <c r="Z45" s="71"/>
    </row>
    <row r="46" spans="1:26" x14ac:dyDescent="0.2">
      <c r="A46" s="108">
        <v>19</v>
      </c>
      <c r="B46" s="132">
        <f t="shared" si="2"/>
        <v>0</v>
      </c>
      <c r="C46" s="104">
        <f t="shared" si="19"/>
        <v>0</v>
      </c>
      <c r="D46" s="132">
        <f t="shared" si="3"/>
        <v>0</v>
      </c>
      <c r="E46" s="132">
        <f t="shared" si="4"/>
        <v>0</v>
      </c>
      <c r="F46" s="132">
        <f t="shared" si="5"/>
        <v>0</v>
      </c>
      <c r="G46" s="114">
        <f>IF(SUM(K$27:K45)&gt;0,0,IF(Y46&lt;&gt;"-",$B$3,0))</f>
        <v>0</v>
      </c>
      <c r="H46" s="114">
        <f t="shared" si="6"/>
        <v>0</v>
      </c>
      <c r="I46" s="105">
        <f t="shared" si="12"/>
        <v>0</v>
      </c>
      <c r="J46" s="105">
        <f t="shared" si="7"/>
        <v>0</v>
      </c>
      <c r="K46" s="132">
        <f t="shared" si="13"/>
        <v>0</v>
      </c>
      <c r="L46" s="133">
        <f t="shared" si="20"/>
        <v>0</v>
      </c>
      <c r="M46" s="132">
        <f>IF(SUM(K$28:K46)&gt;0,MIN(O45*(1+B$9)^(1/12),G$25-G46+K46),0)</f>
        <v>0</v>
      </c>
      <c r="N46" s="132">
        <f t="shared" si="8"/>
        <v>0</v>
      </c>
      <c r="O46" s="133">
        <f t="shared" si="9"/>
        <v>0</v>
      </c>
      <c r="P46" s="103">
        <f>SUM(N$27:N46)</f>
        <v>0</v>
      </c>
      <c r="Q46" s="103">
        <f t="shared" si="21"/>
        <v>0</v>
      </c>
      <c r="R46" s="103">
        <f t="shared" si="14"/>
        <v>0</v>
      </c>
      <c r="S46" s="103">
        <f t="shared" si="15"/>
        <v>0</v>
      </c>
      <c r="T46" s="103">
        <f t="shared" si="16"/>
        <v>0</v>
      </c>
      <c r="U46" s="96" t="s">
        <v>67</v>
      </c>
      <c r="V46" s="96" t="str">
        <f t="shared" si="10"/>
        <v>-</v>
      </c>
      <c r="W46" s="96" t="str">
        <f t="shared" si="17"/>
        <v>-</v>
      </c>
      <c r="X46" s="96" t="str">
        <f t="shared" si="18"/>
        <v>-</v>
      </c>
      <c r="Y46" s="107" t="str">
        <f t="shared" si="11"/>
        <v/>
      </c>
      <c r="Z46" s="71"/>
    </row>
    <row r="47" spans="1:26" x14ac:dyDescent="0.2">
      <c r="A47" s="108">
        <v>20</v>
      </c>
      <c r="B47" s="132">
        <f t="shared" si="2"/>
        <v>0</v>
      </c>
      <c r="C47" s="104">
        <f t="shared" si="19"/>
        <v>0</v>
      </c>
      <c r="D47" s="132">
        <f t="shared" si="3"/>
        <v>0</v>
      </c>
      <c r="E47" s="132">
        <f t="shared" si="4"/>
        <v>0</v>
      </c>
      <c r="F47" s="132">
        <f t="shared" si="5"/>
        <v>0</v>
      </c>
      <c r="G47" s="114">
        <f>IF(SUM(K$27:K46)&gt;0,0,IF(Y47&lt;&gt;"-",$B$3,0))</f>
        <v>0</v>
      </c>
      <c r="H47" s="114">
        <f t="shared" si="6"/>
        <v>0</v>
      </c>
      <c r="I47" s="105">
        <f t="shared" si="12"/>
        <v>0</v>
      </c>
      <c r="J47" s="105">
        <f t="shared" si="7"/>
        <v>0</v>
      </c>
      <c r="K47" s="132">
        <f t="shared" si="13"/>
        <v>0</v>
      </c>
      <c r="L47" s="133">
        <f t="shared" si="20"/>
        <v>0</v>
      </c>
      <c r="M47" s="132">
        <f>IF(SUM(K$28:K47)&gt;0,MIN(O46*(1+B$9)^(1/12),G$25-G47+K47),0)</f>
        <v>0</v>
      </c>
      <c r="N47" s="132">
        <f t="shared" si="8"/>
        <v>0</v>
      </c>
      <c r="O47" s="133">
        <f t="shared" si="9"/>
        <v>0</v>
      </c>
      <c r="P47" s="103">
        <f>SUM(N$27:N47)</f>
        <v>0</v>
      </c>
      <c r="Q47" s="103">
        <f t="shared" si="21"/>
        <v>0</v>
      </c>
      <c r="R47" s="103">
        <f t="shared" si="14"/>
        <v>0</v>
      </c>
      <c r="S47" s="103">
        <f t="shared" si="15"/>
        <v>0</v>
      </c>
      <c r="T47" s="103">
        <f t="shared" si="16"/>
        <v>0</v>
      </c>
      <c r="U47" s="96" t="s">
        <v>67</v>
      </c>
      <c r="V47" s="96" t="str">
        <f t="shared" si="10"/>
        <v>-</v>
      </c>
      <c r="W47" s="96" t="str">
        <f t="shared" si="17"/>
        <v>-</v>
      </c>
      <c r="X47" s="96" t="str">
        <f t="shared" si="18"/>
        <v>-</v>
      </c>
      <c r="Y47" s="107" t="str">
        <f t="shared" si="11"/>
        <v/>
      </c>
      <c r="Z47" s="71"/>
    </row>
    <row r="48" spans="1:26" x14ac:dyDescent="0.2">
      <c r="A48" s="108">
        <v>21</v>
      </c>
      <c r="B48" s="132">
        <f t="shared" si="2"/>
        <v>0</v>
      </c>
      <c r="C48" s="104">
        <f t="shared" si="19"/>
        <v>0</v>
      </c>
      <c r="D48" s="132">
        <f t="shared" si="3"/>
        <v>0</v>
      </c>
      <c r="E48" s="132">
        <f t="shared" si="4"/>
        <v>0</v>
      </c>
      <c r="F48" s="132">
        <f t="shared" si="5"/>
        <v>0</v>
      </c>
      <c r="G48" s="114">
        <f>IF(SUM(K$27:K47)&gt;0,0,IF(Y48&lt;&gt;"-",$B$3,0))</f>
        <v>0</v>
      </c>
      <c r="H48" s="114">
        <f t="shared" si="6"/>
        <v>0</v>
      </c>
      <c r="I48" s="105">
        <f t="shared" si="12"/>
        <v>0</v>
      </c>
      <c r="J48" s="105">
        <f t="shared" si="7"/>
        <v>0</v>
      </c>
      <c r="K48" s="132">
        <f t="shared" si="13"/>
        <v>0</v>
      </c>
      <c r="L48" s="133">
        <f t="shared" si="20"/>
        <v>0</v>
      </c>
      <c r="M48" s="132">
        <f>IF(SUM(K$28:K48)&gt;0,MIN(O47*(1+B$9)^(1/12),G$25-G48+K48),0)</f>
        <v>0</v>
      </c>
      <c r="N48" s="132">
        <f t="shared" si="8"/>
        <v>0</v>
      </c>
      <c r="O48" s="133">
        <f t="shared" si="9"/>
        <v>0</v>
      </c>
      <c r="P48" s="103">
        <f>SUM(N$27:N48)</f>
        <v>0</v>
      </c>
      <c r="Q48" s="103">
        <f t="shared" si="21"/>
        <v>0</v>
      </c>
      <c r="R48" s="103">
        <f t="shared" si="14"/>
        <v>0</v>
      </c>
      <c r="S48" s="103">
        <f t="shared" si="15"/>
        <v>0</v>
      </c>
      <c r="T48" s="103">
        <f t="shared" si="16"/>
        <v>0</v>
      </c>
      <c r="U48" s="96" t="s">
        <v>67</v>
      </c>
      <c r="V48" s="96" t="str">
        <f t="shared" si="10"/>
        <v>q</v>
      </c>
      <c r="W48" s="96" t="str">
        <f t="shared" si="17"/>
        <v>-</v>
      </c>
      <c r="X48" s="96" t="str">
        <f t="shared" si="18"/>
        <v>-</v>
      </c>
      <c r="Y48" s="107" t="str">
        <f t="shared" si="11"/>
        <v/>
      </c>
      <c r="Z48" s="71"/>
    </row>
    <row r="49" spans="1:26" x14ac:dyDescent="0.2">
      <c r="A49" s="108">
        <v>22</v>
      </c>
      <c r="B49" s="132">
        <f t="shared" si="2"/>
        <v>0</v>
      </c>
      <c r="C49" s="104">
        <f t="shared" si="19"/>
        <v>0</v>
      </c>
      <c r="D49" s="132">
        <f t="shared" si="3"/>
        <v>0</v>
      </c>
      <c r="E49" s="132">
        <f t="shared" si="4"/>
        <v>0</v>
      </c>
      <c r="F49" s="132">
        <f t="shared" si="5"/>
        <v>0</v>
      </c>
      <c r="G49" s="114">
        <f>IF(SUM(K$27:K48)&gt;0,0,IF(Y49&lt;&gt;"-",$B$3,0))</f>
        <v>0</v>
      </c>
      <c r="H49" s="114">
        <f t="shared" si="6"/>
        <v>0</v>
      </c>
      <c r="I49" s="105">
        <f t="shared" si="12"/>
        <v>0</v>
      </c>
      <c r="J49" s="105">
        <f t="shared" si="7"/>
        <v>0</v>
      </c>
      <c r="K49" s="132">
        <f t="shared" si="13"/>
        <v>0</v>
      </c>
      <c r="L49" s="133">
        <f t="shared" si="20"/>
        <v>0</v>
      </c>
      <c r="M49" s="132">
        <f>IF(SUM(K$28:K49)&gt;0,MIN(O48*(1+B$9)^(1/12),G$25-G49+K49),0)</f>
        <v>0</v>
      </c>
      <c r="N49" s="132">
        <f t="shared" si="8"/>
        <v>0</v>
      </c>
      <c r="O49" s="133">
        <f t="shared" si="9"/>
        <v>0</v>
      </c>
      <c r="P49" s="103">
        <f>SUM(N$27:N49)</f>
        <v>0</v>
      </c>
      <c r="Q49" s="103">
        <f t="shared" si="21"/>
        <v>0</v>
      </c>
      <c r="R49" s="103">
        <f t="shared" si="14"/>
        <v>0</v>
      </c>
      <c r="S49" s="103">
        <f t="shared" si="15"/>
        <v>0</v>
      </c>
      <c r="T49" s="103">
        <f t="shared" si="16"/>
        <v>0</v>
      </c>
      <c r="U49" s="96" t="s">
        <v>67</v>
      </c>
      <c r="V49" s="96" t="str">
        <f t="shared" si="10"/>
        <v>-</v>
      </c>
      <c r="W49" s="96" t="str">
        <f t="shared" si="17"/>
        <v>-</v>
      </c>
      <c r="X49" s="96" t="str">
        <f t="shared" si="18"/>
        <v>-</v>
      </c>
      <c r="Y49" s="107" t="str">
        <f t="shared" si="11"/>
        <v/>
      </c>
      <c r="Z49" s="71"/>
    </row>
    <row r="50" spans="1:26" x14ac:dyDescent="0.2">
      <c r="A50" s="108">
        <v>23</v>
      </c>
      <c r="B50" s="132">
        <f t="shared" si="2"/>
        <v>0</v>
      </c>
      <c r="C50" s="104">
        <f t="shared" si="19"/>
        <v>0</v>
      </c>
      <c r="D50" s="132">
        <f t="shared" si="3"/>
        <v>0</v>
      </c>
      <c r="E50" s="132">
        <f t="shared" si="4"/>
        <v>0</v>
      </c>
      <c r="F50" s="132">
        <f t="shared" si="5"/>
        <v>0</v>
      </c>
      <c r="G50" s="114">
        <f>IF(SUM(K$27:K49)&gt;0,0,IF(Y50&lt;&gt;"-",$B$3,0))</f>
        <v>0</v>
      </c>
      <c r="H50" s="114">
        <f t="shared" si="6"/>
        <v>0</v>
      </c>
      <c r="I50" s="105">
        <f t="shared" si="12"/>
        <v>0</v>
      </c>
      <c r="J50" s="105">
        <f t="shared" si="7"/>
        <v>0</v>
      </c>
      <c r="K50" s="132">
        <f t="shared" si="13"/>
        <v>0</v>
      </c>
      <c r="L50" s="133">
        <f t="shared" si="20"/>
        <v>0</v>
      </c>
      <c r="M50" s="132">
        <f>IF(SUM(K$28:K50)&gt;0,MIN(O49*(1+B$9)^(1/12),G$25-G50+K50),0)</f>
        <v>0</v>
      </c>
      <c r="N50" s="132">
        <f t="shared" si="8"/>
        <v>0</v>
      </c>
      <c r="O50" s="133">
        <f t="shared" si="9"/>
        <v>0</v>
      </c>
      <c r="P50" s="103">
        <f>SUM(N$27:N50)</f>
        <v>0</v>
      </c>
      <c r="Q50" s="103">
        <f t="shared" si="21"/>
        <v>0</v>
      </c>
      <c r="R50" s="103">
        <f t="shared" si="14"/>
        <v>0</v>
      </c>
      <c r="S50" s="103">
        <f t="shared" si="15"/>
        <v>0</v>
      </c>
      <c r="T50" s="103">
        <f t="shared" si="16"/>
        <v>0</v>
      </c>
      <c r="U50" s="96" t="s">
        <v>67</v>
      </c>
      <c r="V50" s="96" t="str">
        <f t="shared" si="10"/>
        <v>-</v>
      </c>
      <c r="W50" s="96" t="str">
        <f t="shared" si="17"/>
        <v>-</v>
      </c>
      <c r="X50" s="96" t="str">
        <f t="shared" si="18"/>
        <v>-</v>
      </c>
      <c r="Y50" s="107" t="str">
        <f t="shared" si="11"/>
        <v/>
      </c>
      <c r="Z50" s="71"/>
    </row>
    <row r="51" spans="1:26" x14ac:dyDescent="0.2">
      <c r="A51" s="110">
        <v>24</v>
      </c>
      <c r="B51" s="111">
        <f t="shared" si="2"/>
        <v>0</v>
      </c>
      <c r="C51" s="111">
        <f t="shared" si="19"/>
        <v>0</v>
      </c>
      <c r="D51" s="111">
        <f t="shared" si="3"/>
        <v>0</v>
      </c>
      <c r="E51" s="111">
        <f t="shared" si="4"/>
        <v>0</v>
      </c>
      <c r="F51" s="111">
        <f t="shared" si="5"/>
        <v>0</v>
      </c>
      <c r="G51" s="112">
        <f>IF(SUM(K$27:K50)&gt;0,0,IF(Y51&lt;&gt;"-",$B$3,0))</f>
        <v>0</v>
      </c>
      <c r="H51" s="112">
        <f t="shared" si="6"/>
        <v>0</v>
      </c>
      <c r="I51" s="112">
        <f t="shared" si="12"/>
        <v>0</v>
      </c>
      <c r="J51" s="112">
        <f t="shared" si="7"/>
        <v>0</v>
      </c>
      <c r="K51" s="111">
        <f t="shared" si="13"/>
        <v>0</v>
      </c>
      <c r="L51" s="113">
        <f t="shared" si="20"/>
        <v>0</v>
      </c>
      <c r="M51" s="111">
        <f>IF(SUM(K$28:K51)&gt;0,MIN(O50*(1+B$9)^(1/12),G$25-G51+K51),0)</f>
        <v>0</v>
      </c>
      <c r="N51" s="111">
        <f t="shared" si="8"/>
        <v>0</v>
      </c>
      <c r="O51" s="113">
        <f t="shared" si="9"/>
        <v>0</v>
      </c>
      <c r="P51" s="111">
        <f>SUM(N$27:N51)</f>
        <v>0</v>
      </c>
      <c r="Q51" s="111">
        <f t="shared" si="21"/>
        <v>0</v>
      </c>
      <c r="R51" s="111">
        <f t="shared" si="14"/>
        <v>0</v>
      </c>
      <c r="S51" s="111">
        <f t="shared" si="15"/>
        <v>0</v>
      </c>
      <c r="T51" s="111">
        <f t="shared" si="16"/>
        <v>0</v>
      </c>
      <c r="U51" s="101" t="s">
        <v>67</v>
      </c>
      <c r="V51" s="101" t="str">
        <f t="shared" si="10"/>
        <v>q</v>
      </c>
      <c r="W51" s="101" t="str">
        <f t="shared" si="17"/>
        <v>s</v>
      </c>
      <c r="X51" s="101" t="str">
        <f t="shared" si="18"/>
        <v>a</v>
      </c>
      <c r="Y51" s="107" t="str">
        <f t="shared" si="11"/>
        <v/>
      </c>
      <c r="Z51" s="71"/>
    </row>
    <row r="52" spans="1:26" x14ac:dyDescent="0.2">
      <c r="A52" s="108">
        <v>25</v>
      </c>
      <c r="B52" s="132">
        <f t="shared" si="2"/>
        <v>0</v>
      </c>
      <c r="C52" s="104">
        <f t="shared" si="19"/>
        <v>0</v>
      </c>
      <c r="D52" s="132">
        <f t="shared" si="3"/>
        <v>0</v>
      </c>
      <c r="E52" s="132">
        <f t="shared" si="4"/>
        <v>0</v>
      </c>
      <c r="F52" s="132">
        <f t="shared" si="5"/>
        <v>0</v>
      </c>
      <c r="G52" s="114">
        <f>IF(SUM(K$27:K51)&gt;0,0,IF(Y52&lt;&gt;"-",$B$3,0))</f>
        <v>0</v>
      </c>
      <c r="H52" s="114">
        <f t="shared" si="6"/>
        <v>0</v>
      </c>
      <c r="I52" s="105">
        <f t="shared" si="12"/>
        <v>0</v>
      </c>
      <c r="J52" s="105">
        <f t="shared" si="7"/>
        <v>0</v>
      </c>
      <c r="K52" s="132">
        <f t="shared" si="13"/>
        <v>0</v>
      </c>
      <c r="L52" s="133">
        <f t="shared" si="20"/>
        <v>0</v>
      </c>
      <c r="M52" s="132">
        <f>IF(SUM(K$28:K52)&gt;0,MIN(O51*(1+B$9)^(1/12),G$25-G52+K52),0)</f>
        <v>0</v>
      </c>
      <c r="N52" s="132">
        <f t="shared" si="8"/>
        <v>0</v>
      </c>
      <c r="O52" s="133">
        <f t="shared" si="9"/>
        <v>0</v>
      </c>
      <c r="P52" s="103">
        <f>SUM(N$27:N52)</f>
        <v>0</v>
      </c>
      <c r="Q52" s="103">
        <f t="shared" si="21"/>
        <v>0</v>
      </c>
      <c r="R52" s="103">
        <f t="shared" si="14"/>
        <v>0</v>
      </c>
      <c r="S52" s="103">
        <f t="shared" si="15"/>
        <v>0</v>
      </c>
      <c r="T52" s="103">
        <f t="shared" si="16"/>
        <v>0</v>
      </c>
      <c r="U52" s="96" t="s">
        <v>67</v>
      </c>
      <c r="V52" s="96" t="str">
        <f t="shared" si="10"/>
        <v>-</v>
      </c>
      <c r="W52" s="96" t="str">
        <f t="shared" si="17"/>
        <v>-</v>
      </c>
      <c r="X52" s="96" t="str">
        <f t="shared" si="18"/>
        <v>-</v>
      </c>
      <c r="Y52" s="107" t="str">
        <f t="shared" si="11"/>
        <v/>
      </c>
      <c r="Z52" s="71"/>
    </row>
    <row r="53" spans="1:26" x14ac:dyDescent="0.2">
      <c r="A53" s="108">
        <v>26</v>
      </c>
      <c r="B53" s="132">
        <f t="shared" si="2"/>
        <v>0</v>
      </c>
      <c r="C53" s="104">
        <f t="shared" si="19"/>
        <v>0</v>
      </c>
      <c r="D53" s="132">
        <f t="shared" si="3"/>
        <v>0</v>
      </c>
      <c r="E53" s="132">
        <f t="shared" si="4"/>
        <v>0</v>
      </c>
      <c r="F53" s="132">
        <f t="shared" si="5"/>
        <v>0</v>
      </c>
      <c r="G53" s="114">
        <f>IF(SUM(K$27:K52)&gt;0,0,IF(Y53&lt;&gt;"-",$B$3,0))</f>
        <v>0</v>
      </c>
      <c r="H53" s="114">
        <f t="shared" si="6"/>
        <v>0</v>
      </c>
      <c r="I53" s="105">
        <f t="shared" si="12"/>
        <v>0</v>
      </c>
      <c r="J53" s="105">
        <f t="shared" si="7"/>
        <v>0</v>
      </c>
      <c r="K53" s="132">
        <f t="shared" si="13"/>
        <v>0</v>
      </c>
      <c r="L53" s="133">
        <f t="shared" si="20"/>
        <v>0</v>
      </c>
      <c r="M53" s="132">
        <f>IF(SUM(K$28:K53)&gt;0,MIN(O52*(1+B$9)^(1/12),G$25-G53+K53),0)</f>
        <v>0</v>
      </c>
      <c r="N53" s="132">
        <f t="shared" si="8"/>
        <v>0</v>
      </c>
      <c r="O53" s="133">
        <f t="shared" si="9"/>
        <v>0</v>
      </c>
      <c r="P53" s="103">
        <f>SUM(N$27:N53)</f>
        <v>0</v>
      </c>
      <c r="Q53" s="103">
        <f t="shared" si="21"/>
        <v>0</v>
      </c>
      <c r="R53" s="103">
        <f t="shared" si="14"/>
        <v>0</v>
      </c>
      <c r="S53" s="103">
        <f t="shared" si="15"/>
        <v>0</v>
      </c>
      <c r="T53" s="103">
        <f t="shared" si="16"/>
        <v>0</v>
      </c>
      <c r="U53" s="96" t="s">
        <v>67</v>
      </c>
      <c r="V53" s="96" t="str">
        <f t="shared" si="10"/>
        <v>-</v>
      </c>
      <c r="W53" s="96" t="str">
        <f t="shared" si="17"/>
        <v>-</v>
      </c>
      <c r="X53" s="96" t="str">
        <f t="shared" si="18"/>
        <v>-</v>
      </c>
      <c r="Y53" s="107" t="str">
        <f t="shared" si="11"/>
        <v/>
      </c>
      <c r="Z53" s="71"/>
    </row>
    <row r="54" spans="1:26" x14ac:dyDescent="0.2">
      <c r="A54" s="108">
        <v>27</v>
      </c>
      <c r="B54" s="132">
        <f t="shared" si="2"/>
        <v>0</v>
      </c>
      <c r="C54" s="104">
        <f t="shared" si="19"/>
        <v>0</v>
      </c>
      <c r="D54" s="132">
        <f t="shared" si="3"/>
        <v>0</v>
      </c>
      <c r="E54" s="132">
        <f t="shared" si="4"/>
        <v>0</v>
      </c>
      <c r="F54" s="132">
        <f t="shared" si="5"/>
        <v>0</v>
      </c>
      <c r="G54" s="114">
        <f>IF(SUM(K$27:K53)&gt;0,0,IF(Y54&lt;&gt;"-",$B$3,0))</f>
        <v>0</v>
      </c>
      <c r="H54" s="114">
        <f t="shared" si="6"/>
        <v>0</v>
      </c>
      <c r="I54" s="105">
        <f t="shared" si="12"/>
        <v>0</v>
      </c>
      <c r="J54" s="105">
        <f t="shared" si="7"/>
        <v>0</v>
      </c>
      <c r="K54" s="132">
        <f t="shared" si="13"/>
        <v>0</v>
      </c>
      <c r="L54" s="133">
        <f t="shared" si="20"/>
        <v>0</v>
      </c>
      <c r="M54" s="132">
        <f>IF(SUM(K$28:K54)&gt;0,MIN(O53*(1+B$9)^(1/12),G$25-G54+K54),0)</f>
        <v>0</v>
      </c>
      <c r="N54" s="132">
        <f t="shared" si="8"/>
        <v>0</v>
      </c>
      <c r="O54" s="133">
        <f t="shared" si="9"/>
        <v>0</v>
      </c>
      <c r="P54" s="103">
        <f>SUM(N$27:N54)</f>
        <v>0</v>
      </c>
      <c r="Q54" s="103">
        <f t="shared" si="21"/>
        <v>0</v>
      </c>
      <c r="R54" s="103">
        <f t="shared" si="14"/>
        <v>0</v>
      </c>
      <c r="S54" s="103">
        <f t="shared" si="15"/>
        <v>0</v>
      </c>
      <c r="T54" s="103">
        <f t="shared" si="16"/>
        <v>0</v>
      </c>
      <c r="U54" s="96" t="s">
        <v>67</v>
      </c>
      <c r="V54" s="96" t="str">
        <f t="shared" si="10"/>
        <v>q</v>
      </c>
      <c r="W54" s="96" t="str">
        <f t="shared" si="17"/>
        <v>-</v>
      </c>
      <c r="X54" s="96" t="str">
        <f t="shared" si="18"/>
        <v>-</v>
      </c>
      <c r="Y54" s="107" t="str">
        <f t="shared" si="11"/>
        <v/>
      </c>
      <c r="Z54" s="71"/>
    </row>
    <row r="55" spans="1:26" x14ac:dyDescent="0.2">
      <c r="A55" s="108">
        <v>28</v>
      </c>
      <c r="B55" s="132">
        <f t="shared" si="2"/>
        <v>0</v>
      </c>
      <c r="C55" s="104">
        <f t="shared" si="19"/>
        <v>0</v>
      </c>
      <c r="D55" s="132">
        <f t="shared" si="3"/>
        <v>0</v>
      </c>
      <c r="E55" s="132">
        <f t="shared" si="4"/>
        <v>0</v>
      </c>
      <c r="F55" s="132">
        <f t="shared" si="5"/>
        <v>0</v>
      </c>
      <c r="G55" s="114">
        <f>IF(SUM(K$27:K54)&gt;0,0,IF(Y55&lt;&gt;"-",$B$3,0))</f>
        <v>0</v>
      </c>
      <c r="H55" s="114">
        <f t="shared" si="6"/>
        <v>0</v>
      </c>
      <c r="I55" s="105">
        <f t="shared" si="12"/>
        <v>0</v>
      </c>
      <c r="J55" s="105">
        <f t="shared" si="7"/>
        <v>0</v>
      </c>
      <c r="K55" s="132">
        <f t="shared" si="13"/>
        <v>0</v>
      </c>
      <c r="L55" s="133">
        <f t="shared" si="20"/>
        <v>0</v>
      </c>
      <c r="M55" s="132">
        <f>IF(SUM(K$28:K55)&gt;0,MIN(O54*(1+B$9)^(1/12),G$25-G55+K55),0)</f>
        <v>0</v>
      </c>
      <c r="N55" s="132">
        <f t="shared" si="8"/>
        <v>0</v>
      </c>
      <c r="O55" s="133">
        <f t="shared" si="9"/>
        <v>0</v>
      </c>
      <c r="P55" s="103">
        <f>SUM(N$27:N55)</f>
        <v>0</v>
      </c>
      <c r="Q55" s="103">
        <f t="shared" si="21"/>
        <v>0</v>
      </c>
      <c r="R55" s="103">
        <f t="shared" si="14"/>
        <v>0</v>
      </c>
      <c r="S55" s="103">
        <f t="shared" si="15"/>
        <v>0</v>
      </c>
      <c r="T55" s="103">
        <f t="shared" si="16"/>
        <v>0</v>
      </c>
      <c r="U55" s="96" t="s">
        <v>67</v>
      </c>
      <c r="V55" s="96" t="str">
        <f t="shared" si="10"/>
        <v>-</v>
      </c>
      <c r="W55" s="96" t="str">
        <f t="shared" si="17"/>
        <v>-</v>
      </c>
      <c r="X55" s="96" t="str">
        <f t="shared" si="18"/>
        <v>-</v>
      </c>
      <c r="Y55" s="107" t="str">
        <f t="shared" si="11"/>
        <v/>
      </c>
      <c r="Z55" s="71"/>
    </row>
    <row r="56" spans="1:26" x14ac:dyDescent="0.2">
      <c r="A56" s="108">
        <v>29</v>
      </c>
      <c r="B56" s="132">
        <f t="shared" si="2"/>
        <v>0</v>
      </c>
      <c r="C56" s="104">
        <f t="shared" si="19"/>
        <v>0</v>
      </c>
      <c r="D56" s="132">
        <f t="shared" si="3"/>
        <v>0</v>
      </c>
      <c r="E56" s="132">
        <f t="shared" si="4"/>
        <v>0</v>
      </c>
      <c r="F56" s="132">
        <f t="shared" si="5"/>
        <v>0</v>
      </c>
      <c r="G56" s="114">
        <f>IF(SUM(K$27:K55)&gt;0,0,IF(Y56&lt;&gt;"-",$B$3,0))</f>
        <v>0</v>
      </c>
      <c r="H56" s="114">
        <f t="shared" si="6"/>
        <v>0</v>
      </c>
      <c r="I56" s="105">
        <f t="shared" si="12"/>
        <v>0</v>
      </c>
      <c r="J56" s="105">
        <f t="shared" si="7"/>
        <v>0</v>
      </c>
      <c r="K56" s="132">
        <f t="shared" si="13"/>
        <v>0</v>
      </c>
      <c r="L56" s="133">
        <f t="shared" si="20"/>
        <v>0</v>
      </c>
      <c r="M56" s="132">
        <f>IF(SUM(K$28:K56)&gt;0,MIN(O55*(1+B$9)^(1/12),G$25-G56+K56),0)</f>
        <v>0</v>
      </c>
      <c r="N56" s="132">
        <f t="shared" si="8"/>
        <v>0</v>
      </c>
      <c r="O56" s="133">
        <f t="shared" si="9"/>
        <v>0</v>
      </c>
      <c r="P56" s="103">
        <f>SUM(N$27:N56)</f>
        <v>0</v>
      </c>
      <c r="Q56" s="103">
        <f t="shared" si="21"/>
        <v>0</v>
      </c>
      <c r="R56" s="103">
        <f t="shared" si="14"/>
        <v>0</v>
      </c>
      <c r="S56" s="103">
        <f t="shared" si="15"/>
        <v>0</v>
      </c>
      <c r="T56" s="103">
        <f t="shared" si="16"/>
        <v>0</v>
      </c>
      <c r="U56" s="96" t="s">
        <v>67</v>
      </c>
      <c r="V56" s="96" t="str">
        <f t="shared" si="10"/>
        <v>-</v>
      </c>
      <c r="W56" s="96" t="str">
        <f t="shared" si="17"/>
        <v>-</v>
      </c>
      <c r="X56" s="96" t="str">
        <f t="shared" si="18"/>
        <v>-</v>
      </c>
      <c r="Y56" s="107" t="str">
        <f t="shared" si="11"/>
        <v/>
      </c>
      <c r="Z56" s="71"/>
    </row>
    <row r="57" spans="1:26" x14ac:dyDescent="0.2">
      <c r="A57" s="108">
        <v>30</v>
      </c>
      <c r="B57" s="132">
        <f>G57+H57-D57-K57</f>
        <v>0</v>
      </c>
      <c r="C57" s="104">
        <f t="shared" si="19"/>
        <v>0</v>
      </c>
      <c r="D57" s="132">
        <f t="shared" si="3"/>
        <v>0</v>
      </c>
      <c r="E57" s="132">
        <f t="shared" si="4"/>
        <v>0</v>
      </c>
      <c r="F57" s="132">
        <f t="shared" si="5"/>
        <v>0</v>
      </c>
      <c r="G57" s="114">
        <f>IF(SUM(K$27:K56)&gt;0,0,IF(Y57&lt;&gt;"-",$B$3,0))</f>
        <v>0</v>
      </c>
      <c r="H57" s="114">
        <f t="shared" si="6"/>
        <v>0</v>
      </c>
      <c r="I57" s="105">
        <f t="shared" si="12"/>
        <v>0</v>
      </c>
      <c r="J57" s="105">
        <f t="shared" si="7"/>
        <v>0</v>
      </c>
      <c r="K57" s="132">
        <f>MAX(SUM(G57:J57)-SUM(C57:F57),0)</f>
        <v>0</v>
      </c>
      <c r="L57" s="133">
        <f>SUM(C57:F57)-SUM(G57:J57)+K57</f>
        <v>0</v>
      </c>
      <c r="M57" s="132">
        <f>IF(SUM(K$28:K57)&gt;0,MIN(O56*(1+B$9)^(1/12),G$25-G57+K57),0)</f>
        <v>0</v>
      </c>
      <c r="N57" s="132">
        <f t="shared" si="8"/>
        <v>0</v>
      </c>
      <c r="O57" s="133">
        <f t="shared" si="9"/>
        <v>0</v>
      </c>
      <c r="P57" s="103">
        <f>SUM(N$27:N57)</f>
        <v>0</v>
      </c>
      <c r="Q57" s="103">
        <f t="shared" si="21"/>
        <v>0</v>
      </c>
      <c r="R57" s="103">
        <f t="shared" si="14"/>
        <v>0</v>
      </c>
      <c r="S57" s="103">
        <f t="shared" si="15"/>
        <v>0</v>
      </c>
      <c r="T57" s="103">
        <f t="shared" si="16"/>
        <v>0</v>
      </c>
      <c r="U57" s="96" t="s">
        <v>67</v>
      </c>
      <c r="V57" s="96" t="str">
        <f t="shared" si="10"/>
        <v>q</v>
      </c>
      <c r="W57" s="96" t="str">
        <f t="shared" si="17"/>
        <v>s</v>
      </c>
      <c r="X57" s="96" t="str">
        <f t="shared" si="18"/>
        <v>-</v>
      </c>
      <c r="Y57" s="107" t="str">
        <f t="shared" si="11"/>
        <v/>
      </c>
      <c r="Z57" s="71"/>
    </row>
    <row r="58" spans="1:26" x14ac:dyDescent="0.2">
      <c r="A58" s="108">
        <v>31</v>
      </c>
      <c r="B58" s="132">
        <f t="shared" ref="B58:B121" si="22">G58+H58-D58-K58</f>
        <v>0</v>
      </c>
      <c r="C58" s="104">
        <f t="shared" si="19"/>
        <v>0</v>
      </c>
      <c r="D58" s="132">
        <f t="shared" si="3"/>
        <v>0</v>
      </c>
      <c r="E58" s="132">
        <f t="shared" si="4"/>
        <v>0</v>
      </c>
      <c r="F58" s="132">
        <f t="shared" si="5"/>
        <v>0</v>
      </c>
      <c r="G58" s="114">
        <f>IF(SUM(K$27:K57)&gt;0,0,IF(Y58&lt;&gt;"-",$B$3,0))</f>
        <v>0</v>
      </c>
      <c r="H58" s="114">
        <f t="shared" si="6"/>
        <v>0</v>
      </c>
      <c r="I58" s="105">
        <f t="shared" si="12"/>
        <v>0</v>
      </c>
      <c r="J58" s="105">
        <f t="shared" si="7"/>
        <v>0</v>
      </c>
      <c r="K58" s="132">
        <f t="shared" ref="K58:K121" si="23">MAX(SUM(G58:J58)-SUM(C58:F58),0)</f>
        <v>0</v>
      </c>
      <c r="L58" s="133">
        <f t="shared" ref="L58:L121" si="24">SUM(C58:F58)-SUM(G58:J58)+K58</f>
        <v>0</v>
      </c>
      <c r="M58" s="132">
        <f>IF(SUM(K$28:K58)&gt;0,MIN(O57*(1+B$9)^(1/12),G$25-G58+K58),0)</f>
        <v>0</v>
      </c>
      <c r="N58" s="132">
        <f t="shared" si="8"/>
        <v>0</v>
      </c>
      <c r="O58" s="133">
        <f t="shared" si="9"/>
        <v>0</v>
      </c>
      <c r="P58" s="103">
        <f>SUM(N$27:N58)</f>
        <v>0</v>
      </c>
      <c r="Q58" s="103">
        <f t="shared" si="21"/>
        <v>0</v>
      </c>
      <c r="R58" s="103">
        <f t="shared" si="14"/>
        <v>0</v>
      </c>
      <c r="S58" s="103">
        <f t="shared" si="15"/>
        <v>0</v>
      </c>
      <c r="T58" s="103">
        <f t="shared" si="16"/>
        <v>0</v>
      </c>
      <c r="U58" s="96" t="s">
        <v>67</v>
      </c>
      <c r="V58" s="96" t="str">
        <f t="shared" si="10"/>
        <v>-</v>
      </c>
      <c r="W58" s="96" t="str">
        <f t="shared" si="17"/>
        <v>-</v>
      </c>
      <c r="X58" s="96" t="str">
        <f t="shared" si="18"/>
        <v>-</v>
      </c>
      <c r="Y58" s="107" t="str">
        <f t="shared" si="11"/>
        <v/>
      </c>
      <c r="Z58" s="71"/>
    </row>
    <row r="59" spans="1:26" x14ac:dyDescent="0.2">
      <c r="A59" s="108">
        <v>32</v>
      </c>
      <c r="B59" s="132">
        <f t="shared" si="22"/>
        <v>0</v>
      </c>
      <c r="C59" s="104">
        <f t="shared" si="19"/>
        <v>0</v>
      </c>
      <c r="D59" s="132">
        <f t="shared" si="3"/>
        <v>0</v>
      </c>
      <c r="E59" s="132">
        <f t="shared" si="4"/>
        <v>0</v>
      </c>
      <c r="F59" s="132">
        <f t="shared" si="5"/>
        <v>0</v>
      </c>
      <c r="G59" s="114">
        <f>IF(SUM(K$27:K58)&gt;0,0,IF(Y59&lt;&gt;"-",$B$3,0))</f>
        <v>0</v>
      </c>
      <c r="H59" s="114">
        <f t="shared" si="6"/>
        <v>0</v>
      </c>
      <c r="I59" s="105">
        <f t="shared" si="12"/>
        <v>0</v>
      </c>
      <c r="J59" s="105">
        <f t="shared" si="7"/>
        <v>0</v>
      </c>
      <c r="K59" s="132">
        <f t="shared" si="23"/>
        <v>0</v>
      </c>
      <c r="L59" s="133">
        <f t="shared" si="24"/>
        <v>0</v>
      </c>
      <c r="M59" s="132">
        <f>IF(SUM(K$28:K59)&gt;0,MIN(O58*(1+B$9)^(1/12),G$25-G59+K59),0)</f>
        <v>0</v>
      </c>
      <c r="N59" s="132">
        <f t="shared" si="8"/>
        <v>0</v>
      </c>
      <c r="O59" s="133">
        <f t="shared" si="9"/>
        <v>0</v>
      </c>
      <c r="P59" s="103">
        <f>SUM(N$27:N59)</f>
        <v>0</v>
      </c>
      <c r="Q59" s="103">
        <f t="shared" si="21"/>
        <v>0</v>
      </c>
      <c r="R59" s="103">
        <f t="shared" si="14"/>
        <v>0</v>
      </c>
      <c r="S59" s="103">
        <f t="shared" si="15"/>
        <v>0</v>
      </c>
      <c r="T59" s="103">
        <f t="shared" si="16"/>
        <v>0</v>
      </c>
      <c r="U59" s="96" t="s">
        <v>67</v>
      </c>
      <c r="V59" s="96" t="str">
        <f t="shared" si="10"/>
        <v>-</v>
      </c>
      <c r="W59" s="96" t="str">
        <f t="shared" si="17"/>
        <v>-</v>
      </c>
      <c r="X59" s="96" t="str">
        <f t="shared" si="18"/>
        <v>-</v>
      </c>
      <c r="Y59" s="107" t="str">
        <f t="shared" si="11"/>
        <v/>
      </c>
      <c r="Z59" s="71"/>
    </row>
    <row r="60" spans="1:26" x14ac:dyDescent="0.2">
      <c r="A60" s="108">
        <v>33</v>
      </c>
      <c r="B60" s="132">
        <f t="shared" si="22"/>
        <v>0</v>
      </c>
      <c r="C60" s="104">
        <f t="shared" si="19"/>
        <v>0</v>
      </c>
      <c r="D60" s="132">
        <f t="shared" si="3"/>
        <v>0</v>
      </c>
      <c r="E60" s="132">
        <f t="shared" si="4"/>
        <v>0</v>
      </c>
      <c r="F60" s="132">
        <f t="shared" si="5"/>
        <v>0</v>
      </c>
      <c r="G60" s="114">
        <f>IF(SUM(K$27:K59)&gt;0,0,IF(Y60&lt;&gt;"-",$B$3,0))</f>
        <v>0</v>
      </c>
      <c r="H60" s="114">
        <f t="shared" si="6"/>
        <v>0</v>
      </c>
      <c r="I60" s="105">
        <f t="shared" si="12"/>
        <v>0</v>
      </c>
      <c r="J60" s="105">
        <f t="shared" si="7"/>
        <v>0</v>
      </c>
      <c r="K60" s="132">
        <f t="shared" si="23"/>
        <v>0</v>
      </c>
      <c r="L60" s="133">
        <f t="shared" si="24"/>
        <v>0</v>
      </c>
      <c r="M60" s="132">
        <f>IF(SUM(K$28:K60)&gt;0,MIN(O59*(1+B$9)^(1/12),G$25-G60+K60),0)</f>
        <v>0</v>
      </c>
      <c r="N60" s="132">
        <f t="shared" si="8"/>
        <v>0</v>
      </c>
      <c r="O60" s="133">
        <f t="shared" si="9"/>
        <v>0</v>
      </c>
      <c r="P60" s="103">
        <f>SUM(N$27:N60)</f>
        <v>0</v>
      </c>
      <c r="Q60" s="103">
        <f t="shared" si="21"/>
        <v>0</v>
      </c>
      <c r="R60" s="103">
        <f t="shared" si="14"/>
        <v>0</v>
      </c>
      <c r="S60" s="103">
        <f t="shared" si="15"/>
        <v>0</v>
      </c>
      <c r="T60" s="103">
        <f t="shared" si="16"/>
        <v>0</v>
      </c>
      <c r="U60" s="96" t="s">
        <v>67</v>
      </c>
      <c r="V60" s="96" t="str">
        <f t="shared" si="10"/>
        <v>q</v>
      </c>
      <c r="W60" s="96" t="str">
        <f t="shared" si="17"/>
        <v>-</v>
      </c>
      <c r="X60" s="96" t="str">
        <f t="shared" si="18"/>
        <v>-</v>
      </c>
      <c r="Y60" s="107" t="str">
        <f t="shared" si="11"/>
        <v/>
      </c>
      <c r="Z60" s="71"/>
    </row>
    <row r="61" spans="1:26" x14ac:dyDescent="0.2">
      <c r="A61" s="108">
        <v>34</v>
      </c>
      <c r="B61" s="132">
        <f t="shared" si="22"/>
        <v>0</v>
      </c>
      <c r="C61" s="104">
        <f t="shared" si="19"/>
        <v>0</v>
      </c>
      <c r="D61" s="132">
        <f t="shared" si="3"/>
        <v>0</v>
      </c>
      <c r="E61" s="132">
        <f t="shared" si="4"/>
        <v>0</v>
      </c>
      <c r="F61" s="132">
        <f t="shared" si="5"/>
        <v>0</v>
      </c>
      <c r="G61" s="114">
        <f>IF(SUM(K$27:K60)&gt;0,0,IF(Y61&lt;&gt;"-",$B$3,0))</f>
        <v>0</v>
      </c>
      <c r="H61" s="114">
        <f t="shared" si="6"/>
        <v>0</v>
      </c>
      <c r="I61" s="105">
        <f t="shared" si="12"/>
        <v>0</v>
      </c>
      <c r="J61" s="105">
        <f t="shared" si="7"/>
        <v>0</v>
      </c>
      <c r="K61" s="132">
        <f t="shared" si="23"/>
        <v>0</v>
      </c>
      <c r="L61" s="133">
        <f t="shared" si="24"/>
        <v>0</v>
      </c>
      <c r="M61" s="132">
        <f>IF(SUM(K$28:K61)&gt;0,MIN(O60*(1+B$9)^(1/12),G$25-G61+K61),0)</f>
        <v>0</v>
      </c>
      <c r="N61" s="132">
        <f t="shared" si="8"/>
        <v>0</v>
      </c>
      <c r="O61" s="133">
        <f t="shared" si="9"/>
        <v>0</v>
      </c>
      <c r="P61" s="103">
        <f>SUM(N$27:N61)</f>
        <v>0</v>
      </c>
      <c r="Q61" s="103">
        <f t="shared" si="21"/>
        <v>0</v>
      </c>
      <c r="R61" s="103">
        <f t="shared" si="14"/>
        <v>0</v>
      </c>
      <c r="S61" s="103">
        <f t="shared" si="15"/>
        <v>0</v>
      </c>
      <c r="T61" s="103">
        <f t="shared" si="16"/>
        <v>0</v>
      </c>
      <c r="U61" s="96" t="s">
        <v>67</v>
      </c>
      <c r="V61" s="96" t="str">
        <f t="shared" si="10"/>
        <v>-</v>
      </c>
      <c r="W61" s="96" t="str">
        <f t="shared" si="17"/>
        <v>-</v>
      </c>
      <c r="X61" s="96" t="str">
        <f t="shared" si="18"/>
        <v>-</v>
      </c>
      <c r="Y61" s="107" t="str">
        <f t="shared" si="11"/>
        <v/>
      </c>
      <c r="Z61" s="71"/>
    </row>
    <row r="62" spans="1:26" x14ac:dyDescent="0.2">
      <c r="A62" s="108">
        <v>35</v>
      </c>
      <c r="B62" s="132">
        <f t="shared" si="22"/>
        <v>0</v>
      </c>
      <c r="C62" s="104">
        <f t="shared" si="19"/>
        <v>0</v>
      </c>
      <c r="D62" s="132">
        <f t="shared" si="3"/>
        <v>0</v>
      </c>
      <c r="E62" s="132">
        <f t="shared" si="4"/>
        <v>0</v>
      </c>
      <c r="F62" s="132">
        <f t="shared" si="5"/>
        <v>0</v>
      </c>
      <c r="G62" s="114">
        <f>IF(SUM(K$27:K61)&gt;0,0,IF(Y62&lt;&gt;"-",$B$3,0))</f>
        <v>0</v>
      </c>
      <c r="H62" s="114">
        <f t="shared" si="6"/>
        <v>0</v>
      </c>
      <c r="I62" s="105">
        <f t="shared" si="12"/>
        <v>0</v>
      </c>
      <c r="J62" s="105">
        <f t="shared" si="7"/>
        <v>0</v>
      </c>
      <c r="K62" s="132">
        <f t="shared" si="23"/>
        <v>0</v>
      </c>
      <c r="L62" s="133">
        <f t="shared" si="24"/>
        <v>0</v>
      </c>
      <c r="M62" s="132">
        <f>IF(SUM(K$28:K62)&gt;0,MIN(O61*(1+B$9)^(1/12),G$25-G62+K62),0)</f>
        <v>0</v>
      </c>
      <c r="N62" s="132">
        <f t="shared" si="8"/>
        <v>0</v>
      </c>
      <c r="O62" s="133">
        <f t="shared" si="9"/>
        <v>0</v>
      </c>
      <c r="P62" s="103">
        <f>SUM(N$27:N62)</f>
        <v>0</v>
      </c>
      <c r="Q62" s="103">
        <f t="shared" si="21"/>
        <v>0</v>
      </c>
      <c r="R62" s="103">
        <f t="shared" si="14"/>
        <v>0</v>
      </c>
      <c r="S62" s="103">
        <f t="shared" si="15"/>
        <v>0</v>
      </c>
      <c r="T62" s="103">
        <f t="shared" si="16"/>
        <v>0</v>
      </c>
      <c r="U62" s="96" t="s">
        <v>67</v>
      </c>
      <c r="V62" s="96" t="str">
        <f t="shared" si="10"/>
        <v>-</v>
      </c>
      <c r="W62" s="96" t="str">
        <f t="shared" si="17"/>
        <v>-</v>
      </c>
      <c r="X62" s="96" t="str">
        <f t="shared" si="18"/>
        <v>-</v>
      </c>
      <c r="Y62" s="107" t="str">
        <f t="shared" si="11"/>
        <v/>
      </c>
      <c r="Z62" s="71"/>
    </row>
    <row r="63" spans="1:26" x14ac:dyDescent="0.2">
      <c r="A63" s="110">
        <v>36</v>
      </c>
      <c r="B63" s="111">
        <f t="shared" si="22"/>
        <v>0</v>
      </c>
      <c r="C63" s="111">
        <f t="shared" si="19"/>
        <v>0</v>
      </c>
      <c r="D63" s="111">
        <f t="shared" si="3"/>
        <v>0</v>
      </c>
      <c r="E63" s="111">
        <f t="shared" si="4"/>
        <v>0</v>
      </c>
      <c r="F63" s="111">
        <f t="shared" si="5"/>
        <v>0</v>
      </c>
      <c r="G63" s="112">
        <f>IF(SUM(K$27:K62)&gt;0,0,IF(Y63&lt;&gt;"-",$B$3,0))</f>
        <v>0</v>
      </c>
      <c r="H63" s="112">
        <f t="shared" si="6"/>
        <v>0</v>
      </c>
      <c r="I63" s="112">
        <f t="shared" si="12"/>
        <v>0</v>
      </c>
      <c r="J63" s="112">
        <f t="shared" si="7"/>
        <v>0</v>
      </c>
      <c r="K63" s="111">
        <f t="shared" si="23"/>
        <v>0</v>
      </c>
      <c r="L63" s="113">
        <f t="shared" si="24"/>
        <v>0</v>
      </c>
      <c r="M63" s="111">
        <f>IF(SUM(K$28:K63)&gt;0,MIN(O62*(1+B$9)^(1/12),G$25-G63+K63),0)</f>
        <v>0</v>
      </c>
      <c r="N63" s="111">
        <f t="shared" si="8"/>
        <v>0</v>
      </c>
      <c r="O63" s="113">
        <f t="shared" si="9"/>
        <v>0</v>
      </c>
      <c r="P63" s="111">
        <f>SUM(N$27:N63)</f>
        <v>0</v>
      </c>
      <c r="Q63" s="111">
        <f t="shared" si="21"/>
        <v>0</v>
      </c>
      <c r="R63" s="111">
        <f t="shared" si="14"/>
        <v>0</v>
      </c>
      <c r="S63" s="111">
        <f t="shared" si="15"/>
        <v>0</v>
      </c>
      <c r="T63" s="111">
        <f t="shared" si="16"/>
        <v>0</v>
      </c>
      <c r="U63" s="101" t="s">
        <v>67</v>
      </c>
      <c r="V63" s="101" t="str">
        <f t="shared" si="10"/>
        <v>q</v>
      </c>
      <c r="W63" s="101" t="str">
        <f t="shared" si="17"/>
        <v>s</v>
      </c>
      <c r="X63" s="101" t="str">
        <f t="shared" si="18"/>
        <v>a</v>
      </c>
      <c r="Y63" s="107" t="str">
        <f t="shared" si="11"/>
        <v/>
      </c>
      <c r="Z63" s="71"/>
    </row>
    <row r="64" spans="1:26" x14ac:dyDescent="0.2">
      <c r="A64" s="108">
        <v>37</v>
      </c>
      <c r="B64" s="132">
        <f t="shared" si="22"/>
        <v>0</v>
      </c>
      <c r="C64" s="104">
        <f t="shared" si="19"/>
        <v>0</v>
      </c>
      <c r="D64" s="132">
        <f t="shared" si="3"/>
        <v>0</v>
      </c>
      <c r="E64" s="132">
        <f t="shared" si="4"/>
        <v>0</v>
      </c>
      <c r="F64" s="132">
        <f t="shared" si="5"/>
        <v>0</v>
      </c>
      <c r="G64" s="114">
        <f>IF(SUM(K$27:K63)&gt;0,0,IF(Y64&lt;&gt;"-",$B$3,0))</f>
        <v>0</v>
      </c>
      <c r="H64" s="114">
        <f t="shared" si="6"/>
        <v>0</v>
      </c>
      <c r="I64" s="105">
        <f t="shared" si="12"/>
        <v>0</v>
      </c>
      <c r="J64" s="105">
        <f t="shared" si="7"/>
        <v>0</v>
      </c>
      <c r="K64" s="132">
        <f t="shared" si="23"/>
        <v>0</v>
      </c>
      <c r="L64" s="133">
        <f t="shared" si="24"/>
        <v>0</v>
      </c>
      <c r="M64" s="132">
        <f>IF(SUM(K$28:K64)&gt;0,MIN(O63*(1+B$9)^(1/12),G$25-G64+K64),0)</f>
        <v>0</v>
      </c>
      <c r="N64" s="132">
        <f t="shared" si="8"/>
        <v>0</v>
      </c>
      <c r="O64" s="133">
        <f t="shared" si="9"/>
        <v>0</v>
      </c>
      <c r="P64" s="103">
        <f>SUM(N$27:N64)</f>
        <v>0</v>
      </c>
      <c r="Q64" s="103">
        <f t="shared" si="21"/>
        <v>0</v>
      </c>
      <c r="R64" s="103">
        <f t="shared" si="14"/>
        <v>0</v>
      </c>
      <c r="S64" s="103">
        <f t="shared" si="15"/>
        <v>0</v>
      </c>
      <c r="T64" s="103">
        <f t="shared" si="16"/>
        <v>0</v>
      </c>
      <c r="U64" s="96" t="s">
        <v>67</v>
      </c>
      <c r="V64" s="96" t="str">
        <f t="shared" si="10"/>
        <v>-</v>
      </c>
      <c r="W64" s="96" t="str">
        <f t="shared" si="17"/>
        <v>-</v>
      </c>
      <c r="X64" s="96" t="str">
        <f t="shared" si="18"/>
        <v>-</v>
      </c>
      <c r="Y64" s="107" t="str">
        <f t="shared" si="11"/>
        <v/>
      </c>
      <c r="Z64" s="71"/>
    </row>
    <row r="65" spans="1:26" x14ac:dyDescent="0.2">
      <c r="A65" s="108">
        <v>38</v>
      </c>
      <c r="B65" s="132">
        <f t="shared" si="22"/>
        <v>0</v>
      </c>
      <c r="C65" s="104">
        <f t="shared" si="19"/>
        <v>0</v>
      </c>
      <c r="D65" s="132">
        <f t="shared" si="3"/>
        <v>0</v>
      </c>
      <c r="E65" s="132">
        <f t="shared" si="4"/>
        <v>0</v>
      </c>
      <c r="F65" s="132">
        <f t="shared" si="5"/>
        <v>0</v>
      </c>
      <c r="G65" s="114">
        <f>IF(SUM(K$27:K64)&gt;0,0,IF(Y65&lt;&gt;"-",$B$3,0))</f>
        <v>0</v>
      </c>
      <c r="H65" s="114">
        <f t="shared" si="6"/>
        <v>0</v>
      </c>
      <c r="I65" s="105">
        <f t="shared" si="12"/>
        <v>0</v>
      </c>
      <c r="J65" s="105">
        <f t="shared" si="7"/>
        <v>0</v>
      </c>
      <c r="K65" s="132">
        <f t="shared" si="23"/>
        <v>0</v>
      </c>
      <c r="L65" s="133">
        <f t="shared" si="24"/>
        <v>0</v>
      </c>
      <c r="M65" s="132">
        <f>IF(SUM(K$28:K65)&gt;0,MIN(O64*(1+B$9)^(1/12),G$25-G65+K65),0)</f>
        <v>0</v>
      </c>
      <c r="N65" s="132">
        <f t="shared" si="8"/>
        <v>0</v>
      </c>
      <c r="O65" s="133">
        <f t="shared" si="9"/>
        <v>0</v>
      </c>
      <c r="P65" s="103">
        <f>SUM(N$27:N65)</f>
        <v>0</v>
      </c>
      <c r="Q65" s="103">
        <f t="shared" si="21"/>
        <v>0</v>
      </c>
      <c r="R65" s="103">
        <f t="shared" si="14"/>
        <v>0</v>
      </c>
      <c r="S65" s="103">
        <f t="shared" si="15"/>
        <v>0</v>
      </c>
      <c r="T65" s="103">
        <f t="shared" si="16"/>
        <v>0</v>
      </c>
      <c r="U65" s="96" t="s">
        <v>67</v>
      </c>
      <c r="V65" s="96" t="str">
        <f t="shared" si="10"/>
        <v>-</v>
      </c>
      <c r="W65" s="96" t="str">
        <f t="shared" si="17"/>
        <v>-</v>
      </c>
      <c r="X65" s="96" t="str">
        <f t="shared" si="18"/>
        <v>-</v>
      </c>
      <c r="Y65" s="107" t="str">
        <f t="shared" si="11"/>
        <v/>
      </c>
      <c r="Z65" s="71"/>
    </row>
    <row r="66" spans="1:26" x14ac:dyDescent="0.2">
      <c r="A66" s="108">
        <v>39</v>
      </c>
      <c r="B66" s="132">
        <f t="shared" si="22"/>
        <v>0</v>
      </c>
      <c r="C66" s="104">
        <f t="shared" si="19"/>
        <v>0</v>
      </c>
      <c r="D66" s="132">
        <f t="shared" si="3"/>
        <v>0</v>
      </c>
      <c r="E66" s="132">
        <f t="shared" si="4"/>
        <v>0</v>
      </c>
      <c r="F66" s="132">
        <f t="shared" si="5"/>
        <v>0</v>
      </c>
      <c r="G66" s="114">
        <f>IF(SUM(K$27:K65)&gt;0,0,IF(Y66&lt;&gt;"-",$B$3,0))</f>
        <v>0</v>
      </c>
      <c r="H66" s="114">
        <f t="shared" si="6"/>
        <v>0</v>
      </c>
      <c r="I66" s="105">
        <f t="shared" si="12"/>
        <v>0</v>
      </c>
      <c r="J66" s="105">
        <f t="shared" si="7"/>
        <v>0</v>
      </c>
      <c r="K66" s="132">
        <f t="shared" si="23"/>
        <v>0</v>
      </c>
      <c r="L66" s="133">
        <f t="shared" si="24"/>
        <v>0</v>
      </c>
      <c r="M66" s="132">
        <f>IF(SUM(K$28:K66)&gt;0,MIN(O65*(1+B$9)^(1/12),G$25-G66+K66),0)</f>
        <v>0</v>
      </c>
      <c r="N66" s="132">
        <f t="shared" si="8"/>
        <v>0</v>
      </c>
      <c r="O66" s="133">
        <f t="shared" si="9"/>
        <v>0</v>
      </c>
      <c r="P66" s="103">
        <f>SUM(N$27:N66)</f>
        <v>0</v>
      </c>
      <c r="Q66" s="103">
        <f t="shared" si="21"/>
        <v>0</v>
      </c>
      <c r="R66" s="103">
        <f t="shared" si="14"/>
        <v>0</v>
      </c>
      <c r="S66" s="103">
        <f t="shared" si="15"/>
        <v>0</v>
      </c>
      <c r="T66" s="103">
        <f t="shared" si="16"/>
        <v>0</v>
      </c>
      <c r="U66" s="96" t="s">
        <v>67</v>
      </c>
      <c r="V66" s="96" t="str">
        <f t="shared" si="10"/>
        <v>q</v>
      </c>
      <c r="W66" s="96" t="str">
        <f t="shared" si="17"/>
        <v>-</v>
      </c>
      <c r="X66" s="96" t="str">
        <f t="shared" si="18"/>
        <v>-</v>
      </c>
      <c r="Y66" s="107" t="str">
        <f t="shared" si="11"/>
        <v/>
      </c>
      <c r="Z66" s="71"/>
    </row>
    <row r="67" spans="1:26" x14ac:dyDescent="0.2">
      <c r="A67" s="108">
        <v>40</v>
      </c>
      <c r="B67" s="132">
        <f t="shared" si="22"/>
        <v>0</v>
      </c>
      <c r="C67" s="104">
        <f t="shared" si="19"/>
        <v>0</v>
      </c>
      <c r="D67" s="132">
        <f t="shared" si="3"/>
        <v>0</v>
      </c>
      <c r="E67" s="132">
        <f t="shared" si="4"/>
        <v>0</v>
      </c>
      <c r="F67" s="132">
        <f t="shared" si="5"/>
        <v>0</v>
      </c>
      <c r="G67" s="114">
        <f>IF(SUM(K$27:K66)&gt;0,0,IF(Y67&lt;&gt;"-",$B$3,0))</f>
        <v>0</v>
      </c>
      <c r="H67" s="114">
        <f t="shared" si="6"/>
        <v>0</v>
      </c>
      <c r="I67" s="105">
        <f t="shared" si="12"/>
        <v>0</v>
      </c>
      <c r="J67" s="105">
        <f t="shared" si="7"/>
        <v>0</v>
      </c>
      <c r="K67" s="132">
        <f t="shared" si="23"/>
        <v>0</v>
      </c>
      <c r="L67" s="133">
        <f t="shared" si="24"/>
        <v>0</v>
      </c>
      <c r="M67" s="132">
        <f>IF(SUM(K$28:K67)&gt;0,MIN(O66*(1+B$9)^(1/12),G$25-G67+K67),0)</f>
        <v>0</v>
      </c>
      <c r="N67" s="132">
        <f t="shared" si="8"/>
        <v>0</v>
      </c>
      <c r="O67" s="133">
        <f t="shared" si="9"/>
        <v>0</v>
      </c>
      <c r="P67" s="103">
        <f>SUM(N$27:N67)</f>
        <v>0</v>
      </c>
      <c r="Q67" s="103">
        <f t="shared" si="21"/>
        <v>0</v>
      </c>
      <c r="R67" s="103">
        <f t="shared" si="14"/>
        <v>0</v>
      </c>
      <c r="S67" s="103">
        <f t="shared" si="15"/>
        <v>0</v>
      </c>
      <c r="T67" s="103">
        <f t="shared" si="16"/>
        <v>0</v>
      </c>
      <c r="U67" s="96" t="s">
        <v>67</v>
      </c>
      <c r="V67" s="96" t="str">
        <f t="shared" si="10"/>
        <v>-</v>
      </c>
      <c r="W67" s="96" t="str">
        <f t="shared" si="17"/>
        <v>-</v>
      </c>
      <c r="X67" s="96" t="str">
        <f t="shared" si="18"/>
        <v>-</v>
      </c>
      <c r="Y67" s="107" t="str">
        <f t="shared" si="11"/>
        <v/>
      </c>
      <c r="Z67" s="71"/>
    </row>
    <row r="68" spans="1:26" x14ac:dyDescent="0.2">
      <c r="A68" s="108">
        <v>41</v>
      </c>
      <c r="B68" s="132">
        <f t="shared" si="22"/>
        <v>0</v>
      </c>
      <c r="C68" s="104">
        <f t="shared" si="19"/>
        <v>0</v>
      </c>
      <c r="D68" s="132">
        <f t="shared" si="3"/>
        <v>0</v>
      </c>
      <c r="E68" s="132">
        <f t="shared" si="4"/>
        <v>0</v>
      </c>
      <c r="F68" s="132">
        <f t="shared" si="5"/>
        <v>0</v>
      </c>
      <c r="G68" s="114">
        <f>IF(SUM(K$27:K67)&gt;0,0,IF(Y68&lt;&gt;"-",$B$3,0))</f>
        <v>0</v>
      </c>
      <c r="H68" s="114">
        <f t="shared" si="6"/>
        <v>0</v>
      </c>
      <c r="I68" s="105">
        <f t="shared" si="12"/>
        <v>0</v>
      </c>
      <c r="J68" s="105">
        <f t="shared" si="7"/>
        <v>0</v>
      </c>
      <c r="K68" s="132">
        <f t="shared" si="23"/>
        <v>0</v>
      </c>
      <c r="L68" s="133">
        <f t="shared" si="24"/>
        <v>0</v>
      </c>
      <c r="M68" s="132">
        <f>IF(SUM(K$28:K68)&gt;0,MIN(O67*(1+B$9)^(1/12),G$25-G68+K68),0)</f>
        <v>0</v>
      </c>
      <c r="N68" s="132">
        <f t="shared" si="8"/>
        <v>0</v>
      </c>
      <c r="O68" s="133">
        <f t="shared" si="9"/>
        <v>0</v>
      </c>
      <c r="P68" s="103">
        <f>SUM(N$27:N68)</f>
        <v>0</v>
      </c>
      <c r="Q68" s="103">
        <f t="shared" si="21"/>
        <v>0</v>
      </c>
      <c r="R68" s="103">
        <f t="shared" si="14"/>
        <v>0</v>
      </c>
      <c r="S68" s="103">
        <f t="shared" si="15"/>
        <v>0</v>
      </c>
      <c r="T68" s="103">
        <f t="shared" si="16"/>
        <v>0</v>
      </c>
      <c r="U68" s="96" t="s">
        <v>67</v>
      </c>
      <c r="V68" s="96" t="str">
        <f t="shared" si="10"/>
        <v>-</v>
      </c>
      <c r="W68" s="96" t="str">
        <f t="shared" si="17"/>
        <v>-</v>
      </c>
      <c r="X68" s="96" t="str">
        <f t="shared" si="18"/>
        <v>-</v>
      </c>
      <c r="Y68" s="107" t="str">
        <f t="shared" si="11"/>
        <v/>
      </c>
      <c r="Z68" s="71"/>
    </row>
    <row r="69" spans="1:26" x14ac:dyDescent="0.2">
      <c r="A69" s="108">
        <v>42</v>
      </c>
      <c r="B69" s="132">
        <f t="shared" si="22"/>
        <v>0</v>
      </c>
      <c r="C69" s="104">
        <f t="shared" si="19"/>
        <v>0</v>
      </c>
      <c r="D69" s="132">
        <f t="shared" si="3"/>
        <v>0</v>
      </c>
      <c r="E69" s="132">
        <f t="shared" si="4"/>
        <v>0</v>
      </c>
      <c r="F69" s="132">
        <f t="shared" si="5"/>
        <v>0</v>
      </c>
      <c r="G69" s="114">
        <f>IF(SUM(K$27:K68)&gt;0,0,IF(Y69&lt;&gt;"-",$B$3,0))</f>
        <v>0</v>
      </c>
      <c r="H69" s="114">
        <f t="shared" si="6"/>
        <v>0</v>
      </c>
      <c r="I69" s="105">
        <f t="shared" si="12"/>
        <v>0</v>
      </c>
      <c r="J69" s="105">
        <f t="shared" si="7"/>
        <v>0</v>
      </c>
      <c r="K69" s="132">
        <f t="shared" si="23"/>
        <v>0</v>
      </c>
      <c r="L69" s="133">
        <f t="shared" si="24"/>
        <v>0</v>
      </c>
      <c r="M69" s="132">
        <f>IF(SUM(K$28:K69)&gt;0,MIN(O68*(1+B$9)^(1/12),G$25-G69+K69),0)</f>
        <v>0</v>
      </c>
      <c r="N69" s="132">
        <f t="shared" si="8"/>
        <v>0</v>
      </c>
      <c r="O69" s="133">
        <f t="shared" si="9"/>
        <v>0</v>
      </c>
      <c r="P69" s="103">
        <f>SUM(N$27:N69)</f>
        <v>0</v>
      </c>
      <c r="Q69" s="103">
        <f t="shared" si="21"/>
        <v>0</v>
      </c>
      <c r="R69" s="103">
        <f t="shared" si="14"/>
        <v>0</v>
      </c>
      <c r="S69" s="103">
        <f t="shared" si="15"/>
        <v>0</v>
      </c>
      <c r="T69" s="103">
        <f t="shared" si="16"/>
        <v>0</v>
      </c>
      <c r="U69" s="96" t="s">
        <v>67</v>
      </c>
      <c r="V69" s="96" t="str">
        <f t="shared" si="10"/>
        <v>q</v>
      </c>
      <c r="W69" s="96" t="str">
        <f t="shared" si="17"/>
        <v>s</v>
      </c>
      <c r="X69" s="96" t="str">
        <f t="shared" si="18"/>
        <v>-</v>
      </c>
      <c r="Y69" s="107" t="str">
        <f t="shared" si="11"/>
        <v/>
      </c>
      <c r="Z69" s="71"/>
    </row>
    <row r="70" spans="1:26" x14ac:dyDescent="0.2">
      <c r="A70" s="108">
        <v>43</v>
      </c>
      <c r="B70" s="132">
        <f t="shared" si="22"/>
        <v>0</v>
      </c>
      <c r="C70" s="104">
        <f t="shared" si="19"/>
        <v>0</v>
      </c>
      <c r="D70" s="132">
        <f t="shared" si="3"/>
        <v>0</v>
      </c>
      <c r="E70" s="132">
        <f t="shared" si="4"/>
        <v>0</v>
      </c>
      <c r="F70" s="132">
        <f t="shared" si="5"/>
        <v>0</v>
      </c>
      <c r="G70" s="114">
        <f>IF(SUM(K$27:K69)&gt;0,0,IF(Y70&lt;&gt;"-",$B$3,0))</f>
        <v>0</v>
      </c>
      <c r="H70" s="114">
        <f t="shared" si="6"/>
        <v>0</v>
      </c>
      <c r="I70" s="105">
        <f t="shared" si="12"/>
        <v>0</v>
      </c>
      <c r="J70" s="105">
        <f t="shared" si="7"/>
        <v>0</v>
      </c>
      <c r="K70" s="132">
        <f t="shared" si="23"/>
        <v>0</v>
      </c>
      <c r="L70" s="133">
        <f t="shared" si="24"/>
        <v>0</v>
      </c>
      <c r="M70" s="132">
        <f>IF(SUM(K$28:K70)&gt;0,MIN(O69*(1+B$9)^(1/12),G$25-G70+K70),0)</f>
        <v>0</v>
      </c>
      <c r="N70" s="132">
        <f t="shared" si="8"/>
        <v>0</v>
      </c>
      <c r="O70" s="133">
        <f t="shared" si="9"/>
        <v>0</v>
      </c>
      <c r="P70" s="103">
        <f>SUM(N$27:N70)</f>
        <v>0</v>
      </c>
      <c r="Q70" s="103">
        <f t="shared" si="21"/>
        <v>0</v>
      </c>
      <c r="R70" s="103">
        <f t="shared" si="14"/>
        <v>0</v>
      </c>
      <c r="S70" s="103">
        <f t="shared" si="15"/>
        <v>0</v>
      </c>
      <c r="T70" s="103">
        <f t="shared" si="16"/>
        <v>0</v>
      </c>
      <c r="U70" s="96" t="s">
        <v>67</v>
      </c>
      <c r="V70" s="96" t="str">
        <f t="shared" si="10"/>
        <v>-</v>
      </c>
      <c r="W70" s="96" t="str">
        <f t="shared" si="17"/>
        <v>-</v>
      </c>
      <c r="X70" s="96" t="str">
        <f t="shared" si="18"/>
        <v>-</v>
      </c>
      <c r="Y70" s="107" t="str">
        <f t="shared" si="11"/>
        <v/>
      </c>
      <c r="Z70" s="71"/>
    </row>
    <row r="71" spans="1:26" x14ac:dyDescent="0.2">
      <c r="A71" s="108">
        <v>44</v>
      </c>
      <c r="B71" s="132">
        <f t="shared" si="22"/>
        <v>0</v>
      </c>
      <c r="C71" s="104">
        <f t="shared" si="19"/>
        <v>0</v>
      </c>
      <c r="D71" s="132">
        <f t="shared" si="3"/>
        <v>0</v>
      </c>
      <c r="E71" s="132">
        <f t="shared" si="4"/>
        <v>0</v>
      </c>
      <c r="F71" s="132">
        <f t="shared" si="5"/>
        <v>0</v>
      </c>
      <c r="G71" s="114">
        <f>IF(SUM(K$27:K70)&gt;0,0,IF(Y71&lt;&gt;"-",$B$3,0))</f>
        <v>0</v>
      </c>
      <c r="H71" s="114">
        <f t="shared" si="6"/>
        <v>0</v>
      </c>
      <c r="I71" s="105">
        <f t="shared" si="12"/>
        <v>0</v>
      </c>
      <c r="J71" s="105">
        <f t="shared" si="7"/>
        <v>0</v>
      </c>
      <c r="K71" s="132">
        <f t="shared" si="23"/>
        <v>0</v>
      </c>
      <c r="L71" s="133">
        <f t="shared" si="24"/>
        <v>0</v>
      </c>
      <c r="M71" s="132">
        <f>IF(SUM(K$28:K71)&gt;0,MIN(O70*(1+B$9)^(1/12),G$25-G71+K71),0)</f>
        <v>0</v>
      </c>
      <c r="N71" s="132">
        <f t="shared" si="8"/>
        <v>0</v>
      </c>
      <c r="O71" s="133">
        <f t="shared" si="9"/>
        <v>0</v>
      </c>
      <c r="P71" s="103">
        <f>SUM(N$27:N71)</f>
        <v>0</v>
      </c>
      <c r="Q71" s="103">
        <f t="shared" si="21"/>
        <v>0</v>
      </c>
      <c r="R71" s="103">
        <f t="shared" si="14"/>
        <v>0</v>
      </c>
      <c r="S71" s="103">
        <f t="shared" si="15"/>
        <v>0</v>
      </c>
      <c r="T71" s="103">
        <f t="shared" si="16"/>
        <v>0</v>
      </c>
      <c r="U71" s="96" t="s">
        <v>67</v>
      </c>
      <c r="V71" s="96" t="str">
        <f t="shared" si="10"/>
        <v>-</v>
      </c>
      <c r="W71" s="96" t="str">
        <f t="shared" si="17"/>
        <v>-</v>
      </c>
      <c r="X71" s="96" t="str">
        <f t="shared" si="18"/>
        <v>-</v>
      </c>
      <c r="Y71" s="107" t="str">
        <f t="shared" si="11"/>
        <v/>
      </c>
      <c r="Z71" s="71"/>
    </row>
    <row r="72" spans="1:26" x14ac:dyDescent="0.2">
      <c r="A72" s="108">
        <v>45</v>
      </c>
      <c r="B72" s="132">
        <f t="shared" si="22"/>
        <v>0</v>
      </c>
      <c r="C72" s="104">
        <f t="shared" si="19"/>
        <v>0</v>
      </c>
      <c r="D72" s="132">
        <f t="shared" si="3"/>
        <v>0</v>
      </c>
      <c r="E72" s="132">
        <f t="shared" si="4"/>
        <v>0</v>
      </c>
      <c r="F72" s="132">
        <f t="shared" si="5"/>
        <v>0</v>
      </c>
      <c r="G72" s="114">
        <f>IF(SUM(K$27:K71)&gt;0,0,IF(Y72&lt;&gt;"-",$B$3,0))</f>
        <v>0</v>
      </c>
      <c r="H72" s="114">
        <f t="shared" si="6"/>
        <v>0</v>
      </c>
      <c r="I72" s="105">
        <f t="shared" si="12"/>
        <v>0</v>
      </c>
      <c r="J72" s="105">
        <f t="shared" si="7"/>
        <v>0</v>
      </c>
      <c r="K72" s="132">
        <f t="shared" si="23"/>
        <v>0</v>
      </c>
      <c r="L72" s="133">
        <f t="shared" si="24"/>
        <v>0</v>
      </c>
      <c r="M72" s="132">
        <f>IF(SUM(K$28:K72)&gt;0,MIN(O71*(1+B$9)^(1/12),G$25-G72+K72),0)</f>
        <v>0</v>
      </c>
      <c r="N72" s="132">
        <f t="shared" si="8"/>
        <v>0</v>
      </c>
      <c r="O72" s="133">
        <f t="shared" si="9"/>
        <v>0</v>
      </c>
      <c r="P72" s="103">
        <f>SUM(N$27:N72)</f>
        <v>0</v>
      </c>
      <c r="Q72" s="103">
        <f t="shared" si="21"/>
        <v>0</v>
      </c>
      <c r="R72" s="103">
        <f t="shared" si="14"/>
        <v>0</v>
      </c>
      <c r="S72" s="103">
        <f t="shared" si="15"/>
        <v>0</v>
      </c>
      <c r="T72" s="103">
        <f t="shared" si="16"/>
        <v>0</v>
      </c>
      <c r="U72" s="96" t="s">
        <v>67</v>
      </c>
      <c r="V72" s="96" t="str">
        <f t="shared" si="10"/>
        <v>q</v>
      </c>
      <c r="W72" s="96" t="str">
        <f t="shared" si="17"/>
        <v>-</v>
      </c>
      <c r="X72" s="96" t="str">
        <f t="shared" si="18"/>
        <v>-</v>
      </c>
      <c r="Y72" s="107" t="str">
        <f t="shared" si="11"/>
        <v/>
      </c>
      <c r="Z72" s="71"/>
    </row>
    <row r="73" spans="1:26" x14ac:dyDescent="0.2">
      <c r="A73" s="108">
        <v>46</v>
      </c>
      <c r="B73" s="132">
        <f t="shared" si="22"/>
        <v>0</v>
      </c>
      <c r="C73" s="104">
        <f t="shared" si="19"/>
        <v>0</v>
      </c>
      <c r="D73" s="132">
        <f t="shared" si="3"/>
        <v>0</v>
      </c>
      <c r="E73" s="132">
        <f t="shared" si="4"/>
        <v>0</v>
      </c>
      <c r="F73" s="132">
        <f t="shared" si="5"/>
        <v>0</v>
      </c>
      <c r="G73" s="114">
        <f>IF(SUM(K$27:K72)&gt;0,0,IF(Y73&lt;&gt;"-",$B$3,0))</f>
        <v>0</v>
      </c>
      <c r="H73" s="114">
        <f t="shared" si="6"/>
        <v>0</v>
      </c>
      <c r="I73" s="105">
        <f t="shared" si="12"/>
        <v>0</v>
      </c>
      <c r="J73" s="105">
        <f t="shared" si="7"/>
        <v>0</v>
      </c>
      <c r="K73" s="132">
        <f t="shared" si="23"/>
        <v>0</v>
      </c>
      <c r="L73" s="133">
        <f t="shared" si="24"/>
        <v>0</v>
      </c>
      <c r="M73" s="132">
        <f>IF(SUM(K$28:K73)&gt;0,MIN(O72*(1+B$9)^(1/12),G$25-G73+K73),0)</f>
        <v>0</v>
      </c>
      <c r="N73" s="132">
        <f t="shared" si="8"/>
        <v>0</v>
      </c>
      <c r="O73" s="133">
        <f t="shared" si="9"/>
        <v>0</v>
      </c>
      <c r="P73" s="103">
        <f>SUM(N$27:N73)</f>
        <v>0</v>
      </c>
      <c r="Q73" s="103">
        <f t="shared" si="21"/>
        <v>0</v>
      </c>
      <c r="R73" s="103">
        <f t="shared" si="14"/>
        <v>0</v>
      </c>
      <c r="S73" s="103">
        <f t="shared" si="15"/>
        <v>0</v>
      </c>
      <c r="T73" s="103">
        <f t="shared" si="16"/>
        <v>0</v>
      </c>
      <c r="U73" s="96" t="s">
        <v>67</v>
      </c>
      <c r="V73" s="96" t="str">
        <f t="shared" si="10"/>
        <v>-</v>
      </c>
      <c r="W73" s="96" t="str">
        <f t="shared" si="17"/>
        <v>-</v>
      </c>
      <c r="X73" s="96" t="str">
        <f t="shared" si="18"/>
        <v>-</v>
      </c>
      <c r="Y73" s="107" t="str">
        <f t="shared" si="11"/>
        <v/>
      </c>
      <c r="Z73" s="71"/>
    </row>
    <row r="74" spans="1:26" x14ac:dyDescent="0.2">
      <c r="A74" s="108">
        <v>47</v>
      </c>
      <c r="B74" s="132">
        <f t="shared" si="22"/>
        <v>0</v>
      </c>
      <c r="C74" s="104">
        <f t="shared" si="19"/>
        <v>0</v>
      </c>
      <c r="D74" s="132">
        <f t="shared" si="3"/>
        <v>0</v>
      </c>
      <c r="E74" s="132">
        <f t="shared" si="4"/>
        <v>0</v>
      </c>
      <c r="F74" s="132">
        <f t="shared" si="5"/>
        <v>0</v>
      </c>
      <c r="G74" s="114">
        <f>IF(SUM(K$27:K73)&gt;0,0,IF(Y74&lt;&gt;"-",$B$3,0))</f>
        <v>0</v>
      </c>
      <c r="H74" s="114">
        <f t="shared" si="6"/>
        <v>0</v>
      </c>
      <c r="I74" s="105">
        <f t="shared" si="12"/>
        <v>0</v>
      </c>
      <c r="J74" s="105">
        <f t="shared" si="7"/>
        <v>0</v>
      </c>
      <c r="K74" s="132">
        <f t="shared" si="23"/>
        <v>0</v>
      </c>
      <c r="L74" s="133">
        <f t="shared" si="24"/>
        <v>0</v>
      </c>
      <c r="M74" s="132">
        <f>IF(SUM(K$28:K74)&gt;0,MIN(O73*(1+B$9)^(1/12),G$25-G74+K74),0)</f>
        <v>0</v>
      </c>
      <c r="N74" s="132">
        <f t="shared" si="8"/>
        <v>0</v>
      </c>
      <c r="O74" s="133">
        <f t="shared" si="9"/>
        <v>0</v>
      </c>
      <c r="P74" s="103">
        <f>SUM(N$27:N74)</f>
        <v>0</v>
      </c>
      <c r="Q74" s="103">
        <f t="shared" si="21"/>
        <v>0</v>
      </c>
      <c r="R74" s="103">
        <f t="shared" si="14"/>
        <v>0</v>
      </c>
      <c r="S74" s="103">
        <f t="shared" si="15"/>
        <v>0</v>
      </c>
      <c r="T74" s="103">
        <f t="shared" si="16"/>
        <v>0</v>
      </c>
      <c r="U74" s="96" t="s">
        <v>67</v>
      </c>
      <c r="V74" s="96" t="str">
        <f t="shared" si="10"/>
        <v>-</v>
      </c>
      <c r="W74" s="96" t="str">
        <f t="shared" si="17"/>
        <v>-</v>
      </c>
      <c r="X74" s="96" t="str">
        <f t="shared" si="18"/>
        <v>-</v>
      </c>
      <c r="Y74" s="107" t="str">
        <f t="shared" si="11"/>
        <v/>
      </c>
      <c r="Z74" s="71"/>
    </row>
    <row r="75" spans="1:26" x14ac:dyDescent="0.2">
      <c r="A75" s="110">
        <v>48</v>
      </c>
      <c r="B75" s="111">
        <f t="shared" si="22"/>
        <v>0</v>
      </c>
      <c r="C75" s="111">
        <f t="shared" si="19"/>
        <v>0</v>
      </c>
      <c r="D75" s="111">
        <f t="shared" si="3"/>
        <v>0</v>
      </c>
      <c r="E75" s="111">
        <f t="shared" si="4"/>
        <v>0</v>
      </c>
      <c r="F75" s="111">
        <f t="shared" si="5"/>
        <v>0</v>
      </c>
      <c r="G75" s="112">
        <f>IF(SUM(K$27:K74)&gt;0,0,IF(Y75&lt;&gt;"-",$B$3,0))</f>
        <v>0</v>
      </c>
      <c r="H75" s="112">
        <f t="shared" si="6"/>
        <v>0</v>
      </c>
      <c r="I75" s="112">
        <f t="shared" si="12"/>
        <v>0</v>
      </c>
      <c r="J75" s="112">
        <f t="shared" si="7"/>
        <v>0</v>
      </c>
      <c r="K75" s="111">
        <f t="shared" si="23"/>
        <v>0</v>
      </c>
      <c r="L75" s="113">
        <f t="shared" si="24"/>
        <v>0</v>
      </c>
      <c r="M75" s="111">
        <f>IF(SUM(K$28:K75)&gt;0,MIN(O74*(1+B$9)^(1/12),G$25-G75+K75),0)</f>
        <v>0</v>
      </c>
      <c r="N75" s="111">
        <f t="shared" si="8"/>
        <v>0</v>
      </c>
      <c r="O75" s="113">
        <f t="shared" si="9"/>
        <v>0</v>
      </c>
      <c r="P75" s="111">
        <f>SUM(N$27:N75)</f>
        <v>0</v>
      </c>
      <c r="Q75" s="111">
        <f t="shared" si="21"/>
        <v>0</v>
      </c>
      <c r="R75" s="111">
        <f t="shared" si="14"/>
        <v>0</v>
      </c>
      <c r="S75" s="111">
        <f t="shared" si="15"/>
        <v>0</v>
      </c>
      <c r="T75" s="111">
        <f t="shared" si="16"/>
        <v>0</v>
      </c>
      <c r="U75" s="101" t="s">
        <v>67</v>
      </c>
      <c r="V75" s="101" t="str">
        <f t="shared" si="10"/>
        <v>q</v>
      </c>
      <c r="W75" s="101" t="str">
        <f t="shared" si="17"/>
        <v>s</v>
      </c>
      <c r="X75" s="101" t="str">
        <f t="shared" si="18"/>
        <v>a</v>
      </c>
      <c r="Y75" s="107" t="str">
        <f t="shared" si="11"/>
        <v/>
      </c>
      <c r="Z75" s="71"/>
    </row>
    <row r="76" spans="1:26" x14ac:dyDescent="0.2">
      <c r="A76" s="108">
        <v>49</v>
      </c>
      <c r="B76" s="132">
        <f t="shared" si="22"/>
        <v>0</v>
      </c>
      <c r="C76" s="104">
        <f t="shared" si="19"/>
        <v>0</v>
      </c>
      <c r="D76" s="132">
        <f t="shared" si="3"/>
        <v>0</v>
      </c>
      <c r="E76" s="132">
        <f t="shared" si="4"/>
        <v>0</v>
      </c>
      <c r="F76" s="132">
        <f t="shared" si="5"/>
        <v>0</v>
      </c>
      <c r="G76" s="114">
        <f>IF(SUM(K$27:K75)&gt;0,0,IF(Y76&lt;&gt;"-",$B$3,0))</f>
        <v>0</v>
      </c>
      <c r="H76" s="114">
        <f t="shared" si="6"/>
        <v>0</v>
      </c>
      <c r="I76" s="105">
        <f t="shared" si="12"/>
        <v>0</v>
      </c>
      <c r="J76" s="105">
        <f t="shared" si="7"/>
        <v>0</v>
      </c>
      <c r="K76" s="132">
        <f t="shared" si="23"/>
        <v>0</v>
      </c>
      <c r="L76" s="133">
        <f t="shared" si="24"/>
        <v>0</v>
      </c>
      <c r="M76" s="132">
        <f>IF(SUM(K$28:K76)&gt;0,MIN(O75*(1+B$9)^(1/12),G$25-G76+K76),0)</f>
        <v>0</v>
      </c>
      <c r="N76" s="132">
        <f t="shared" si="8"/>
        <v>0</v>
      </c>
      <c r="O76" s="133">
        <f t="shared" si="9"/>
        <v>0</v>
      </c>
      <c r="P76" s="103">
        <f>SUM(N$27:N76)</f>
        <v>0</v>
      </c>
      <c r="Q76" s="103">
        <f t="shared" si="21"/>
        <v>0</v>
      </c>
      <c r="R76" s="103">
        <f t="shared" si="14"/>
        <v>0</v>
      </c>
      <c r="S76" s="103">
        <f t="shared" si="15"/>
        <v>0</v>
      </c>
      <c r="T76" s="103">
        <f t="shared" si="16"/>
        <v>0</v>
      </c>
      <c r="U76" s="96" t="s">
        <v>67</v>
      </c>
      <c r="V76" s="96" t="str">
        <f t="shared" si="10"/>
        <v>-</v>
      </c>
      <c r="W76" s="96" t="str">
        <f t="shared" si="17"/>
        <v>-</v>
      </c>
      <c r="X76" s="96" t="str">
        <f t="shared" si="18"/>
        <v>-</v>
      </c>
      <c r="Y76" s="107" t="str">
        <f t="shared" si="11"/>
        <v/>
      </c>
      <c r="Z76" s="71"/>
    </row>
    <row r="77" spans="1:26" x14ac:dyDescent="0.2">
      <c r="A77" s="108">
        <v>50</v>
      </c>
      <c r="B77" s="132">
        <f t="shared" si="22"/>
        <v>0</v>
      </c>
      <c r="C77" s="104">
        <f t="shared" si="19"/>
        <v>0</v>
      </c>
      <c r="D77" s="132">
        <f t="shared" si="3"/>
        <v>0</v>
      </c>
      <c r="E77" s="132">
        <f t="shared" si="4"/>
        <v>0</v>
      </c>
      <c r="F77" s="132">
        <f t="shared" si="5"/>
        <v>0</v>
      </c>
      <c r="G77" s="114">
        <f>IF(SUM(K$27:K76)&gt;0,0,IF(Y77&lt;&gt;"-",$B$3,0))</f>
        <v>0</v>
      </c>
      <c r="H77" s="114">
        <f t="shared" si="6"/>
        <v>0</v>
      </c>
      <c r="I77" s="105">
        <f t="shared" si="12"/>
        <v>0</v>
      </c>
      <c r="J77" s="105">
        <f t="shared" si="7"/>
        <v>0</v>
      </c>
      <c r="K77" s="132">
        <f t="shared" si="23"/>
        <v>0</v>
      </c>
      <c r="L77" s="133">
        <f t="shared" si="24"/>
        <v>0</v>
      </c>
      <c r="M77" s="132">
        <f>IF(SUM(K$28:K77)&gt;0,MIN(O76*(1+B$9)^(1/12),G$25-G77+K77),0)</f>
        <v>0</v>
      </c>
      <c r="N77" s="132">
        <f t="shared" si="8"/>
        <v>0</v>
      </c>
      <c r="O77" s="133">
        <f t="shared" si="9"/>
        <v>0</v>
      </c>
      <c r="P77" s="103">
        <f>SUM(N$27:N77)</f>
        <v>0</v>
      </c>
      <c r="Q77" s="103">
        <f t="shared" si="21"/>
        <v>0</v>
      </c>
      <c r="R77" s="103">
        <f t="shared" si="14"/>
        <v>0</v>
      </c>
      <c r="S77" s="103">
        <f t="shared" si="15"/>
        <v>0</v>
      </c>
      <c r="T77" s="103">
        <f t="shared" si="16"/>
        <v>0</v>
      </c>
      <c r="U77" s="96" t="s">
        <v>67</v>
      </c>
      <c r="V77" s="96" t="str">
        <f t="shared" si="10"/>
        <v>-</v>
      </c>
      <c r="W77" s="96" t="str">
        <f t="shared" si="17"/>
        <v>-</v>
      </c>
      <c r="X77" s="96" t="str">
        <f t="shared" si="18"/>
        <v>-</v>
      </c>
      <c r="Y77" s="107" t="str">
        <f t="shared" si="11"/>
        <v/>
      </c>
      <c r="Z77" s="71"/>
    </row>
    <row r="78" spans="1:26" x14ac:dyDescent="0.2">
      <c r="A78" s="108">
        <v>51</v>
      </c>
      <c r="B78" s="132">
        <f t="shared" si="22"/>
        <v>0</v>
      </c>
      <c r="C78" s="104">
        <f t="shared" si="19"/>
        <v>0</v>
      </c>
      <c r="D78" s="132">
        <f t="shared" si="3"/>
        <v>0</v>
      </c>
      <c r="E78" s="132">
        <f t="shared" si="4"/>
        <v>0</v>
      </c>
      <c r="F78" s="132">
        <f t="shared" si="5"/>
        <v>0</v>
      </c>
      <c r="G78" s="114">
        <f>IF(SUM(K$27:K77)&gt;0,0,IF(Y78&lt;&gt;"-",$B$3,0))</f>
        <v>0</v>
      </c>
      <c r="H78" s="114">
        <f t="shared" si="6"/>
        <v>0</v>
      </c>
      <c r="I78" s="105">
        <f t="shared" si="12"/>
        <v>0</v>
      </c>
      <c r="J78" s="105">
        <f t="shared" si="7"/>
        <v>0</v>
      </c>
      <c r="K78" s="132">
        <f t="shared" si="23"/>
        <v>0</v>
      </c>
      <c r="L78" s="133">
        <f t="shared" si="24"/>
        <v>0</v>
      </c>
      <c r="M78" s="132">
        <f>IF(SUM(K$28:K78)&gt;0,MIN(O77*(1+B$9)^(1/12),G$25-G78+K78),0)</f>
        <v>0</v>
      </c>
      <c r="N78" s="132">
        <f t="shared" si="8"/>
        <v>0</v>
      </c>
      <c r="O78" s="133">
        <f t="shared" si="9"/>
        <v>0</v>
      </c>
      <c r="P78" s="103">
        <f>SUM(N$27:N78)</f>
        <v>0</v>
      </c>
      <c r="Q78" s="103">
        <f t="shared" si="21"/>
        <v>0</v>
      </c>
      <c r="R78" s="103">
        <f t="shared" si="14"/>
        <v>0</v>
      </c>
      <c r="S78" s="103">
        <f t="shared" si="15"/>
        <v>0</v>
      </c>
      <c r="T78" s="103">
        <f t="shared" si="16"/>
        <v>0</v>
      </c>
      <c r="U78" s="96" t="s">
        <v>67</v>
      </c>
      <c r="V78" s="96" t="str">
        <f t="shared" si="10"/>
        <v>q</v>
      </c>
      <c r="W78" s="96" t="str">
        <f t="shared" si="17"/>
        <v>-</v>
      </c>
      <c r="X78" s="96" t="str">
        <f t="shared" si="18"/>
        <v>-</v>
      </c>
      <c r="Y78" s="107" t="str">
        <f t="shared" si="11"/>
        <v/>
      </c>
      <c r="Z78" s="71"/>
    </row>
    <row r="79" spans="1:26" x14ac:dyDescent="0.2">
      <c r="A79" s="108">
        <v>52</v>
      </c>
      <c r="B79" s="132">
        <f t="shared" si="22"/>
        <v>0</v>
      </c>
      <c r="C79" s="104">
        <f t="shared" si="19"/>
        <v>0</v>
      </c>
      <c r="D79" s="132">
        <f t="shared" si="3"/>
        <v>0</v>
      </c>
      <c r="E79" s="132">
        <f t="shared" si="4"/>
        <v>0</v>
      </c>
      <c r="F79" s="132">
        <f t="shared" si="5"/>
        <v>0</v>
      </c>
      <c r="G79" s="114">
        <f>IF(SUM(K$27:K78)&gt;0,0,IF(Y79&lt;&gt;"-",$B$3,0))</f>
        <v>0</v>
      </c>
      <c r="H79" s="114">
        <f t="shared" si="6"/>
        <v>0</v>
      </c>
      <c r="I79" s="105">
        <f t="shared" si="12"/>
        <v>0</v>
      </c>
      <c r="J79" s="105">
        <f t="shared" si="7"/>
        <v>0</v>
      </c>
      <c r="K79" s="132">
        <f t="shared" si="23"/>
        <v>0</v>
      </c>
      <c r="L79" s="133">
        <f t="shared" si="24"/>
        <v>0</v>
      </c>
      <c r="M79" s="132">
        <f>IF(SUM(K$28:K79)&gt;0,MIN(O78*(1+B$9)^(1/12),G$25-G79+K79),0)</f>
        <v>0</v>
      </c>
      <c r="N79" s="132">
        <f t="shared" si="8"/>
        <v>0</v>
      </c>
      <c r="O79" s="133">
        <f t="shared" si="9"/>
        <v>0</v>
      </c>
      <c r="P79" s="103">
        <f>SUM(N$27:N79)</f>
        <v>0</v>
      </c>
      <c r="Q79" s="103">
        <f t="shared" si="21"/>
        <v>0</v>
      </c>
      <c r="R79" s="103">
        <f t="shared" si="14"/>
        <v>0</v>
      </c>
      <c r="S79" s="103">
        <f t="shared" si="15"/>
        <v>0</v>
      </c>
      <c r="T79" s="103">
        <f t="shared" si="16"/>
        <v>0</v>
      </c>
      <c r="U79" s="96" t="s">
        <v>67</v>
      </c>
      <c r="V79" s="96" t="str">
        <f t="shared" si="10"/>
        <v>-</v>
      </c>
      <c r="W79" s="96" t="str">
        <f t="shared" si="17"/>
        <v>-</v>
      </c>
      <c r="X79" s="96" t="str">
        <f t="shared" si="18"/>
        <v>-</v>
      </c>
      <c r="Y79" s="107" t="str">
        <f t="shared" si="11"/>
        <v/>
      </c>
      <c r="Z79" s="71"/>
    </row>
    <row r="80" spans="1:26" x14ac:dyDescent="0.2">
      <c r="A80" s="108">
        <v>53</v>
      </c>
      <c r="B80" s="132">
        <f t="shared" si="22"/>
        <v>0</v>
      </c>
      <c r="C80" s="104">
        <f t="shared" si="19"/>
        <v>0</v>
      </c>
      <c r="D80" s="132">
        <f t="shared" si="3"/>
        <v>0</v>
      </c>
      <c r="E80" s="132">
        <f t="shared" si="4"/>
        <v>0</v>
      </c>
      <c r="F80" s="132">
        <f t="shared" si="5"/>
        <v>0</v>
      </c>
      <c r="G80" s="114">
        <f>IF(SUM(K$27:K79)&gt;0,0,IF(Y80&lt;&gt;"-",$B$3,0))</f>
        <v>0</v>
      </c>
      <c r="H80" s="114">
        <f t="shared" si="6"/>
        <v>0</v>
      </c>
      <c r="I80" s="105">
        <f t="shared" si="12"/>
        <v>0</v>
      </c>
      <c r="J80" s="105">
        <f t="shared" si="7"/>
        <v>0</v>
      </c>
      <c r="K80" s="132">
        <f t="shared" si="23"/>
        <v>0</v>
      </c>
      <c r="L80" s="133">
        <f t="shared" si="24"/>
        <v>0</v>
      </c>
      <c r="M80" s="132">
        <f>IF(SUM(K$28:K80)&gt;0,MIN(O79*(1+B$9)^(1/12),G$25-G80+K80),0)</f>
        <v>0</v>
      </c>
      <c r="N80" s="132">
        <f t="shared" si="8"/>
        <v>0</v>
      </c>
      <c r="O80" s="133">
        <f t="shared" si="9"/>
        <v>0</v>
      </c>
      <c r="P80" s="103">
        <f>SUM(N$27:N80)</f>
        <v>0</v>
      </c>
      <c r="Q80" s="103">
        <f t="shared" si="21"/>
        <v>0</v>
      </c>
      <c r="R80" s="103">
        <f t="shared" si="14"/>
        <v>0</v>
      </c>
      <c r="S80" s="103">
        <f t="shared" si="15"/>
        <v>0</v>
      </c>
      <c r="T80" s="103">
        <f t="shared" si="16"/>
        <v>0</v>
      </c>
      <c r="U80" s="96" t="s">
        <v>67</v>
      </c>
      <c r="V80" s="96" t="str">
        <f t="shared" si="10"/>
        <v>-</v>
      </c>
      <c r="W80" s="96" t="str">
        <f t="shared" si="17"/>
        <v>-</v>
      </c>
      <c r="X80" s="96" t="str">
        <f t="shared" si="18"/>
        <v>-</v>
      </c>
      <c r="Y80" s="107" t="str">
        <f t="shared" si="11"/>
        <v/>
      </c>
      <c r="Z80" s="71"/>
    </row>
    <row r="81" spans="1:26" x14ac:dyDescent="0.2">
      <c r="A81" s="108">
        <v>54</v>
      </c>
      <c r="B81" s="132">
        <f t="shared" si="22"/>
        <v>0</v>
      </c>
      <c r="C81" s="104">
        <f t="shared" si="19"/>
        <v>0</v>
      </c>
      <c r="D81" s="132">
        <f t="shared" si="3"/>
        <v>0</v>
      </c>
      <c r="E81" s="132">
        <f t="shared" si="4"/>
        <v>0</v>
      </c>
      <c r="F81" s="132">
        <f t="shared" si="5"/>
        <v>0</v>
      </c>
      <c r="G81" s="114">
        <f>IF(SUM(K$27:K80)&gt;0,0,IF(Y81&lt;&gt;"-",$B$3,0))</f>
        <v>0</v>
      </c>
      <c r="H81" s="114">
        <f t="shared" si="6"/>
        <v>0</v>
      </c>
      <c r="I81" s="105">
        <f t="shared" si="12"/>
        <v>0</v>
      </c>
      <c r="J81" s="105">
        <f t="shared" si="7"/>
        <v>0</v>
      </c>
      <c r="K81" s="132">
        <f t="shared" si="23"/>
        <v>0</v>
      </c>
      <c r="L81" s="133">
        <f t="shared" si="24"/>
        <v>0</v>
      </c>
      <c r="M81" s="132">
        <f>IF(SUM(K$28:K81)&gt;0,MIN(O80*(1+B$9)^(1/12),G$25-G81+K81),0)</f>
        <v>0</v>
      </c>
      <c r="N81" s="132">
        <f t="shared" si="8"/>
        <v>0</v>
      </c>
      <c r="O81" s="133">
        <f t="shared" si="9"/>
        <v>0</v>
      </c>
      <c r="P81" s="103">
        <f>SUM(N$27:N81)</f>
        <v>0</v>
      </c>
      <c r="Q81" s="103">
        <f t="shared" si="21"/>
        <v>0</v>
      </c>
      <c r="R81" s="103">
        <f t="shared" si="14"/>
        <v>0</v>
      </c>
      <c r="S81" s="103">
        <f t="shared" si="15"/>
        <v>0</v>
      </c>
      <c r="T81" s="103">
        <f t="shared" si="16"/>
        <v>0</v>
      </c>
      <c r="U81" s="96" t="s">
        <v>67</v>
      </c>
      <c r="V81" s="96" t="str">
        <f t="shared" si="10"/>
        <v>q</v>
      </c>
      <c r="W81" s="96" t="str">
        <f t="shared" si="17"/>
        <v>s</v>
      </c>
      <c r="X81" s="96" t="str">
        <f t="shared" si="18"/>
        <v>-</v>
      </c>
      <c r="Y81" s="107" t="str">
        <f t="shared" si="11"/>
        <v/>
      </c>
      <c r="Z81" s="71"/>
    </row>
    <row r="82" spans="1:26" x14ac:dyDescent="0.2">
      <c r="A82" s="108">
        <v>55</v>
      </c>
      <c r="B82" s="132">
        <f t="shared" si="22"/>
        <v>0</v>
      </c>
      <c r="C82" s="104">
        <f t="shared" si="19"/>
        <v>0</v>
      </c>
      <c r="D82" s="132">
        <f t="shared" si="3"/>
        <v>0</v>
      </c>
      <c r="E82" s="132">
        <f t="shared" si="4"/>
        <v>0</v>
      </c>
      <c r="F82" s="132">
        <f t="shared" si="5"/>
        <v>0</v>
      </c>
      <c r="G82" s="114">
        <f>IF(SUM(K$27:K81)&gt;0,0,IF(Y82&lt;&gt;"-",$B$3,0))</f>
        <v>0</v>
      </c>
      <c r="H82" s="114">
        <f t="shared" si="6"/>
        <v>0</v>
      </c>
      <c r="I82" s="105">
        <f t="shared" si="12"/>
        <v>0</v>
      </c>
      <c r="J82" s="105">
        <f t="shared" si="7"/>
        <v>0</v>
      </c>
      <c r="K82" s="132">
        <f t="shared" si="23"/>
        <v>0</v>
      </c>
      <c r="L82" s="133">
        <f t="shared" si="24"/>
        <v>0</v>
      </c>
      <c r="M82" s="132">
        <f>IF(SUM(K$28:K82)&gt;0,MIN(O81*(1+B$9)^(1/12),G$25-G82+K82),0)</f>
        <v>0</v>
      </c>
      <c r="N82" s="132">
        <f t="shared" si="8"/>
        <v>0</v>
      </c>
      <c r="O82" s="133">
        <f t="shared" si="9"/>
        <v>0</v>
      </c>
      <c r="P82" s="103">
        <f>SUM(N$27:N82)</f>
        <v>0</v>
      </c>
      <c r="Q82" s="103">
        <f t="shared" si="21"/>
        <v>0</v>
      </c>
      <c r="R82" s="103">
        <f t="shared" si="14"/>
        <v>0</v>
      </c>
      <c r="S82" s="103">
        <f t="shared" si="15"/>
        <v>0</v>
      </c>
      <c r="T82" s="103">
        <f t="shared" si="16"/>
        <v>0</v>
      </c>
      <c r="U82" s="96" t="s">
        <v>67</v>
      </c>
      <c r="V82" s="96" t="str">
        <f t="shared" si="10"/>
        <v>-</v>
      </c>
      <c r="W82" s="96" t="str">
        <f t="shared" si="17"/>
        <v>-</v>
      </c>
      <c r="X82" s="96" t="str">
        <f t="shared" si="18"/>
        <v>-</v>
      </c>
      <c r="Y82" s="107" t="str">
        <f t="shared" si="11"/>
        <v/>
      </c>
      <c r="Z82" s="71"/>
    </row>
    <row r="83" spans="1:26" x14ac:dyDescent="0.2">
      <c r="A83" s="108">
        <v>56</v>
      </c>
      <c r="B83" s="132">
        <f t="shared" si="22"/>
        <v>0</v>
      </c>
      <c r="C83" s="104">
        <f t="shared" si="19"/>
        <v>0</v>
      </c>
      <c r="D83" s="132">
        <f t="shared" si="3"/>
        <v>0</v>
      </c>
      <c r="E83" s="132">
        <f t="shared" si="4"/>
        <v>0</v>
      </c>
      <c r="F83" s="132">
        <f t="shared" si="5"/>
        <v>0</v>
      </c>
      <c r="G83" s="114">
        <f>IF(SUM(K$27:K82)&gt;0,0,IF(Y83&lt;&gt;"-",$B$3,0))</f>
        <v>0</v>
      </c>
      <c r="H83" s="114">
        <f t="shared" si="6"/>
        <v>0</v>
      </c>
      <c r="I83" s="105">
        <f t="shared" si="12"/>
        <v>0</v>
      </c>
      <c r="J83" s="105">
        <f t="shared" si="7"/>
        <v>0</v>
      </c>
      <c r="K83" s="132">
        <f t="shared" si="23"/>
        <v>0</v>
      </c>
      <c r="L83" s="133">
        <f t="shared" si="24"/>
        <v>0</v>
      </c>
      <c r="M83" s="132">
        <f>IF(SUM(K$28:K83)&gt;0,MIN(O82*(1+B$9)^(1/12),G$25-G83+K83),0)</f>
        <v>0</v>
      </c>
      <c r="N83" s="132">
        <f t="shared" si="8"/>
        <v>0</v>
      </c>
      <c r="O83" s="133">
        <f t="shared" si="9"/>
        <v>0</v>
      </c>
      <c r="P83" s="103">
        <f>SUM(N$27:N83)</f>
        <v>0</v>
      </c>
      <c r="Q83" s="103">
        <f t="shared" si="21"/>
        <v>0</v>
      </c>
      <c r="R83" s="103">
        <f t="shared" si="14"/>
        <v>0</v>
      </c>
      <c r="S83" s="103">
        <f t="shared" si="15"/>
        <v>0</v>
      </c>
      <c r="T83" s="103">
        <f t="shared" si="16"/>
        <v>0</v>
      </c>
      <c r="U83" s="96" t="s">
        <v>67</v>
      </c>
      <c r="V83" s="96" t="str">
        <f t="shared" si="10"/>
        <v>-</v>
      </c>
      <c r="W83" s="96" t="str">
        <f t="shared" si="17"/>
        <v>-</v>
      </c>
      <c r="X83" s="96" t="str">
        <f t="shared" si="18"/>
        <v>-</v>
      </c>
      <c r="Y83" s="107" t="str">
        <f t="shared" si="11"/>
        <v/>
      </c>
      <c r="Z83" s="71"/>
    </row>
    <row r="84" spans="1:26" x14ac:dyDescent="0.2">
      <c r="A84" s="108">
        <v>57</v>
      </c>
      <c r="B84" s="132">
        <f t="shared" si="22"/>
        <v>0</v>
      </c>
      <c r="C84" s="104">
        <f t="shared" si="19"/>
        <v>0</v>
      </c>
      <c r="D84" s="132">
        <f t="shared" si="3"/>
        <v>0</v>
      </c>
      <c r="E84" s="132">
        <f t="shared" si="4"/>
        <v>0</v>
      </c>
      <c r="F84" s="132">
        <f t="shared" si="5"/>
        <v>0</v>
      </c>
      <c r="G84" s="114">
        <f>IF(SUM(K$27:K83)&gt;0,0,IF(Y84&lt;&gt;"-",$B$3,0))</f>
        <v>0</v>
      </c>
      <c r="H84" s="114">
        <f t="shared" si="6"/>
        <v>0</v>
      </c>
      <c r="I84" s="105">
        <f t="shared" si="12"/>
        <v>0</v>
      </c>
      <c r="J84" s="105">
        <f t="shared" si="7"/>
        <v>0</v>
      </c>
      <c r="K84" s="132">
        <f t="shared" si="23"/>
        <v>0</v>
      </c>
      <c r="L84" s="133">
        <f t="shared" si="24"/>
        <v>0</v>
      </c>
      <c r="M84" s="132">
        <f>IF(SUM(K$28:K84)&gt;0,MIN(O83*(1+B$9)^(1/12),G$25-G84+K84),0)</f>
        <v>0</v>
      </c>
      <c r="N84" s="132">
        <f t="shared" si="8"/>
        <v>0</v>
      </c>
      <c r="O84" s="133">
        <f t="shared" si="9"/>
        <v>0</v>
      </c>
      <c r="P84" s="103">
        <f>SUM(N$27:N84)</f>
        <v>0</v>
      </c>
      <c r="Q84" s="103">
        <f t="shared" si="21"/>
        <v>0</v>
      </c>
      <c r="R84" s="103">
        <f t="shared" si="14"/>
        <v>0</v>
      </c>
      <c r="S84" s="103">
        <f t="shared" si="15"/>
        <v>0</v>
      </c>
      <c r="T84" s="103">
        <f t="shared" si="16"/>
        <v>0</v>
      </c>
      <c r="U84" s="96" t="s">
        <v>67</v>
      </c>
      <c r="V84" s="96" t="str">
        <f t="shared" si="10"/>
        <v>q</v>
      </c>
      <c r="W84" s="96" t="str">
        <f t="shared" si="17"/>
        <v>-</v>
      </c>
      <c r="X84" s="96" t="str">
        <f t="shared" si="18"/>
        <v>-</v>
      </c>
      <c r="Y84" s="107" t="str">
        <f t="shared" si="11"/>
        <v/>
      </c>
      <c r="Z84" s="71"/>
    </row>
    <row r="85" spans="1:26" x14ac:dyDescent="0.2">
      <c r="A85" s="108">
        <v>58</v>
      </c>
      <c r="B85" s="132">
        <f t="shared" si="22"/>
        <v>0</v>
      </c>
      <c r="C85" s="104">
        <f t="shared" si="19"/>
        <v>0</v>
      </c>
      <c r="D85" s="132">
        <f t="shared" si="3"/>
        <v>0</v>
      </c>
      <c r="E85" s="132">
        <f t="shared" si="4"/>
        <v>0</v>
      </c>
      <c r="F85" s="132">
        <f t="shared" si="5"/>
        <v>0</v>
      </c>
      <c r="G85" s="114">
        <f>IF(SUM(K$27:K84)&gt;0,0,IF(Y85&lt;&gt;"-",$B$3,0))</f>
        <v>0</v>
      </c>
      <c r="H85" s="114">
        <f t="shared" si="6"/>
        <v>0</v>
      </c>
      <c r="I85" s="105">
        <f t="shared" si="12"/>
        <v>0</v>
      </c>
      <c r="J85" s="105">
        <f t="shared" si="7"/>
        <v>0</v>
      </c>
      <c r="K85" s="132">
        <f t="shared" si="23"/>
        <v>0</v>
      </c>
      <c r="L85" s="133">
        <f t="shared" si="24"/>
        <v>0</v>
      </c>
      <c r="M85" s="132">
        <f>IF(SUM(K$28:K85)&gt;0,MIN(O84*(1+B$9)^(1/12),G$25-G85+K85),0)</f>
        <v>0</v>
      </c>
      <c r="N85" s="132">
        <f t="shared" si="8"/>
        <v>0</v>
      </c>
      <c r="O85" s="133">
        <f t="shared" si="9"/>
        <v>0</v>
      </c>
      <c r="P85" s="103">
        <f>SUM(N$27:N85)</f>
        <v>0</v>
      </c>
      <c r="Q85" s="103">
        <f t="shared" si="21"/>
        <v>0</v>
      </c>
      <c r="R85" s="103">
        <f t="shared" si="14"/>
        <v>0</v>
      </c>
      <c r="S85" s="103">
        <f t="shared" si="15"/>
        <v>0</v>
      </c>
      <c r="T85" s="103">
        <f t="shared" si="16"/>
        <v>0</v>
      </c>
      <c r="U85" s="96" t="s">
        <v>67</v>
      </c>
      <c r="V85" s="96" t="str">
        <f t="shared" si="10"/>
        <v>-</v>
      </c>
      <c r="W85" s="96" t="str">
        <f t="shared" si="17"/>
        <v>-</v>
      </c>
      <c r="X85" s="96" t="str">
        <f t="shared" si="18"/>
        <v>-</v>
      </c>
      <c r="Y85" s="107" t="str">
        <f t="shared" si="11"/>
        <v/>
      </c>
      <c r="Z85" s="71"/>
    </row>
    <row r="86" spans="1:26" x14ac:dyDescent="0.2">
      <c r="A86" s="108">
        <v>59</v>
      </c>
      <c r="B86" s="132">
        <f t="shared" si="22"/>
        <v>0</v>
      </c>
      <c r="C86" s="104">
        <f t="shared" si="19"/>
        <v>0</v>
      </c>
      <c r="D86" s="132">
        <f t="shared" si="3"/>
        <v>0</v>
      </c>
      <c r="E86" s="132">
        <f t="shared" si="4"/>
        <v>0</v>
      </c>
      <c r="F86" s="132">
        <f t="shared" si="5"/>
        <v>0</v>
      </c>
      <c r="G86" s="114">
        <f>IF(SUM(K$27:K85)&gt;0,0,IF(Y86&lt;&gt;"-",$B$3,0))</f>
        <v>0</v>
      </c>
      <c r="H86" s="114">
        <f t="shared" si="6"/>
        <v>0</v>
      </c>
      <c r="I86" s="105">
        <f t="shared" si="12"/>
        <v>0</v>
      </c>
      <c r="J86" s="105">
        <f t="shared" si="7"/>
        <v>0</v>
      </c>
      <c r="K86" s="132">
        <f t="shared" si="23"/>
        <v>0</v>
      </c>
      <c r="L86" s="133">
        <f t="shared" si="24"/>
        <v>0</v>
      </c>
      <c r="M86" s="132">
        <f>IF(SUM(K$28:K86)&gt;0,MIN(O85*(1+B$9)^(1/12),G$25-G86+K86),0)</f>
        <v>0</v>
      </c>
      <c r="N86" s="132">
        <f t="shared" si="8"/>
        <v>0</v>
      </c>
      <c r="O86" s="133">
        <f t="shared" si="9"/>
        <v>0</v>
      </c>
      <c r="P86" s="103">
        <f>SUM(N$27:N86)</f>
        <v>0</v>
      </c>
      <c r="Q86" s="103">
        <f t="shared" si="21"/>
        <v>0</v>
      </c>
      <c r="R86" s="103">
        <f t="shared" si="14"/>
        <v>0</v>
      </c>
      <c r="S86" s="103">
        <f t="shared" si="15"/>
        <v>0</v>
      </c>
      <c r="T86" s="103">
        <f t="shared" si="16"/>
        <v>0</v>
      </c>
      <c r="U86" s="96" t="s">
        <v>67</v>
      </c>
      <c r="V86" s="96" t="str">
        <f t="shared" si="10"/>
        <v>-</v>
      </c>
      <c r="W86" s="96" t="str">
        <f t="shared" si="17"/>
        <v>-</v>
      </c>
      <c r="X86" s="96" t="str">
        <f t="shared" si="18"/>
        <v>-</v>
      </c>
      <c r="Y86" s="107" t="str">
        <f t="shared" si="11"/>
        <v/>
      </c>
      <c r="Z86" s="71"/>
    </row>
    <row r="87" spans="1:26" x14ac:dyDescent="0.2">
      <c r="A87" s="110">
        <v>60</v>
      </c>
      <c r="B87" s="111">
        <f t="shared" si="22"/>
        <v>0</v>
      </c>
      <c r="C87" s="111">
        <f t="shared" si="19"/>
        <v>0</v>
      </c>
      <c r="D87" s="111">
        <f t="shared" si="3"/>
        <v>0</v>
      </c>
      <c r="E87" s="111">
        <f t="shared" si="4"/>
        <v>0</v>
      </c>
      <c r="F87" s="111">
        <f t="shared" si="5"/>
        <v>0</v>
      </c>
      <c r="G87" s="112">
        <f>IF(SUM(K$27:K86)&gt;0,0,IF(Y87&lt;&gt;"-",$B$3,0))</f>
        <v>0</v>
      </c>
      <c r="H87" s="112">
        <f t="shared" si="6"/>
        <v>0</v>
      </c>
      <c r="I87" s="112">
        <f t="shared" si="12"/>
        <v>0</v>
      </c>
      <c r="J87" s="112">
        <f t="shared" si="7"/>
        <v>0</v>
      </c>
      <c r="K87" s="111">
        <f t="shared" si="23"/>
        <v>0</v>
      </c>
      <c r="L87" s="113">
        <f t="shared" si="24"/>
        <v>0</v>
      </c>
      <c r="M87" s="111">
        <f>IF(SUM(K$28:K87)&gt;0,MIN(O86*(1+B$9)^(1/12),G$25-G87+K87),0)</f>
        <v>0</v>
      </c>
      <c r="N87" s="111">
        <f t="shared" si="8"/>
        <v>0</v>
      </c>
      <c r="O87" s="113">
        <f t="shared" si="9"/>
        <v>0</v>
      </c>
      <c r="P87" s="111">
        <f>SUM(N$27:N87)</f>
        <v>0</v>
      </c>
      <c r="Q87" s="111">
        <f t="shared" si="21"/>
        <v>0</v>
      </c>
      <c r="R87" s="111">
        <f t="shared" si="14"/>
        <v>0</v>
      </c>
      <c r="S87" s="111">
        <f t="shared" si="15"/>
        <v>0</v>
      </c>
      <c r="T87" s="111">
        <f t="shared" si="16"/>
        <v>0</v>
      </c>
      <c r="U87" s="101" t="s">
        <v>67</v>
      </c>
      <c r="V87" s="101" t="str">
        <f t="shared" si="10"/>
        <v>q</v>
      </c>
      <c r="W87" s="101" t="str">
        <f t="shared" si="17"/>
        <v>s</v>
      </c>
      <c r="X87" s="101" t="str">
        <f t="shared" si="18"/>
        <v>a</v>
      </c>
      <c r="Y87" s="107" t="str">
        <f t="shared" si="11"/>
        <v/>
      </c>
      <c r="Z87" s="71"/>
    </row>
    <row r="88" spans="1:26" x14ac:dyDescent="0.2">
      <c r="A88" s="108">
        <v>61</v>
      </c>
      <c r="B88" s="132">
        <f t="shared" si="22"/>
        <v>0</v>
      </c>
      <c r="C88" s="104">
        <f t="shared" si="19"/>
        <v>0</v>
      </c>
      <c r="D88" s="132">
        <f t="shared" si="3"/>
        <v>0</v>
      </c>
      <c r="E88" s="132">
        <f t="shared" si="4"/>
        <v>0</v>
      </c>
      <c r="F88" s="132">
        <f t="shared" si="5"/>
        <v>0</v>
      </c>
      <c r="G88" s="114">
        <f>IF(SUM(K$27:K87)&gt;0,0,IF(Y88&lt;&gt;"-",$B$3,0))</f>
        <v>0</v>
      </c>
      <c r="H88" s="114">
        <f t="shared" si="6"/>
        <v>0</v>
      </c>
      <c r="I88" s="105">
        <f t="shared" si="12"/>
        <v>0</v>
      </c>
      <c r="J88" s="105">
        <f t="shared" si="7"/>
        <v>0</v>
      </c>
      <c r="K88" s="132">
        <f t="shared" si="23"/>
        <v>0</v>
      </c>
      <c r="L88" s="133">
        <f t="shared" si="24"/>
        <v>0</v>
      </c>
      <c r="M88" s="132">
        <f>IF(SUM(K$28:K88)&gt;0,MIN(O87*(1+B$9)^(1/12),G$25-G88+K88),0)</f>
        <v>0</v>
      </c>
      <c r="N88" s="132">
        <f t="shared" si="8"/>
        <v>0</v>
      </c>
      <c r="O88" s="133">
        <f t="shared" si="9"/>
        <v>0</v>
      </c>
      <c r="P88" s="103">
        <f>SUM(N$27:N88)</f>
        <v>0</v>
      </c>
      <c r="Q88" s="103">
        <f t="shared" si="21"/>
        <v>0</v>
      </c>
      <c r="R88" s="103">
        <f t="shared" si="14"/>
        <v>0</v>
      </c>
      <c r="S88" s="103">
        <f t="shared" si="15"/>
        <v>0</v>
      </c>
      <c r="T88" s="103">
        <f t="shared" si="16"/>
        <v>0</v>
      </c>
      <c r="U88" s="96" t="s">
        <v>67</v>
      </c>
      <c r="V88" s="96" t="str">
        <f t="shared" si="10"/>
        <v>-</v>
      </c>
      <c r="W88" s="96" t="str">
        <f t="shared" si="17"/>
        <v>-</v>
      </c>
      <c r="X88" s="96" t="str">
        <f t="shared" si="18"/>
        <v>-</v>
      </c>
      <c r="Y88" s="107" t="str">
        <f t="shared" si="11"/>
        <v/>
      </c>
      <c r="Z88" s="71"/>
    </row>
    <row r="89" spans="1:26" x14ac:dyDescent="0.2">
      <c r="A89" s="108">
        <v>62</v>
      </c>
      <c r="B89" s="132">
        <f t="shared" si="22"/>
        <v>0</v>
      </c>
      <c r="C89" s="104">
        <f t="shared" si="19"/>
        <v>0</v>
      </c>
      <c r="D89" s="132">
        <f t="shared" si="3"/>
        <v>0</v>
      </c>
      <c r="E89" s="132">
        <f t="shared" si="4"/>
        <v>0</v>
      </c>
      <c r="F89" s="132">
        <f t="shared" si="5"/>
        <v>0</v>
      </c>
      <c r="G89" s="114">
        <f>IF(SUM(K$27:K88)&gt;0,0,IF(Y89&lt;&gt;"-",$B$3,0))</f>
        <v>0</v>
      </c>
      <c r="H89" s="114">
        <f t="shared" si="6"/>
        <v>0</v>
      </c>
      <c r="I89" s="105">
        <f t="shared" si="12"/>
        <v>0</v>
      </c>
      <c r="J89" s="105">
        <f t="shared" si="7"/>
        <v>0</v>
      </c>
      <c r="K89" s="132">
        <f t="shared" si="23"/>
        <v>0</v>
      </c>
      <c r="L89" s="133">
        <f t="shared" si="24"/>
        <v>0</v>
      </c>
      <c r="M89" s="132">
        <f>IF(SUM(K$28:K89)&gt;0,MIN(O88*(1+B$9)^(1/12),G$25-G89+K89),0)</f>
        <v>0</v>
      </c>
      <c r="N89" s="132">
        <f t="shared" si="8"/>
        <v>0</v>
      </c>
      <c r="O89" s="133">
        <f t="shared" si="9"/>
        <v>0</v>
      </c>
      <c r="P89" s="103">
        <f>SUM(N$27:N89)</f>
        <v>0</v>
      </c>
      <c r="Q89" s="103">
        <f t="shared" si="21"/>
        <v>0</v>
      </c>
      <c r="R89" s="103">
        <f t="shared" si="14"/>
        <v>0</v>
      </c>
      <c r="S89" s="103">
        <f t="shared" si="15"/>
        <v>0</v>
      </c>
      <c r="T89" s="103">
        <f t="shared" si="16"/>
        <v>0</v>
      </c>
      <c r="U89" s="96" t="s">
        <v>67</v>
      </c>
      <c r="V89" s="96" t="str">
        <f t="shared" si="10"/>
        <v>-</v>
      </c>
      <c r="W89" s="96" t="str">
        <f t="shared" si="17"/>
        <v>-</v>
      </c>
      <c r="X89" s="96" t="str">
        <f t="shared" si="18"/>
        <v>-</v>
      </c>
      <c r="Y89" s="107" t="str">
        <f t="shared" si="11"/>
        <v/>
      </c>
      <c r="Z89" s="71"/>
    </row>
    <row r="90" spans="1:26" x14ac:dyDescent="0.2">
      <c r="A90" s="108">
        <v>63</v>
      </c>
      <c r="B90" s="132">
        <f t="shared" si="22"/>
        <v>0</v>
      </c>
      <c r="C90" s="104">
        <f t="shared" si="19"/>
        <v>0</v>
      </c>
      <c r="D90" s="132">
        <f t="shared" si="3"/>
        <v>0</v>
      </c>
      <c r="E90" s="132">
        <f t="shared" si="4"/>
        <v>0</v>
      </c>
      <c r="F90" s="132">
        <f t="shared" si="5"/>
        <v>0</v>
      </c>
      <c r="G90" s="114">
        <f>IF(SUM(K$27:K89)&gt;0,0,IF(Y90&lt;&gt;"-",$B$3,0))</f>
        <v>0</v>
      </c>
      <c r="H90" s="114">
        <f t="shared" si="6"/>
        <v>0</v>
      </c>
      <c r="I90" s="105">
        <f t="shared" si="12"/>
        <v>0</v>
      </c>
      <c r="J90" s="105">
        <f t="shared" si="7"/>
        <v>0</v>
      </c>
      <c r="K90" s="132">
        <f t="shared" si="23"/>
        <v>0</v>
      </c>
      <c r="L90" s="133">
        <f t="shared" si="24"/>
        <v>0</v>
      </c>
      <c r="M90" s="132">
        <f>IF(SUM(K$28:K90)&gt;0,MIN(O89*(1+B$9)^(1/12),G$25-G90+K90),0)</f>
        <v>0</v>
      </c>
      <c r="N90" s="132">
        <f t="shared" si="8"/>
        <v>0</v>
      </c>
      <c r="O90" s="133">
        <f t="shared" si="9"/>
        <v>0</v>
      </c>
      <c r="P90" s="103">
        <f>SUM(N$27:N90)</f>
        <v>0</v>
      </c>
      <c r="Q90" s="103">
        <f t="shared" si="21"/>
        <v>0</v>
      </c>
      <c r="R90" s="103">
        <f t="shared" si="14"/>
        <v>0</v>
      </c>
      <c r="S90" s="103">
        <f t="shared" si="15"/>
        <v>0</v>
      </c>
      <c r="T90" s="103">
        <f t="shared" si="16"/>
        <v>0</v>
      </c>
      <c r="U90" s="96" t="s">
        <v>67</v>
      </c>
      <c r="V90" s="96" t="str">
        <f t="shared" si="10"/>
        <v>q</v>
      </c>
      <c r="W90" s="96" t="str">
        <f t="shared" si="17"/>
        <v>-</v>
      </c>
      <c r="X90" s="96" t="str">
        <f t="shared" si="18"/>
        <v>-</v>
      </c>
      <c r="Y90" s="107" t="str">
        <f t="shared" si="11"/>
        <v/>
      </c>
      <c r="Z90" s="71"/>
    </row>
    <row r="91" spans="1:26" x14ac:dyDescent="0.2">
      <c r="A91" s="108">
        <v>64</v>
      </c>
      <c r="B91" s="132">
        <f t="shared" si="22"/>
        <v>0</v>
      </c>
      <c r="C91" s="104">
        <f t="shared" si="19"/>
        <v>0</v>
      </c>
      <c r="D91" s="132">
        <f t="shared" si="3"/>
        <v>0</v>
      </c>
      <c r="E91" s="132">
        <f t="shared" si="4"/>
        <v>0</v>
      </c>
      <c r="F91" s="132">
        <f t="shared" si="5"/>
        <v>0</v>
      </c>
      <c r="G91" s="114">
        <f>IF(SUM(K$27:K90)&gt;0,0,IF(Y91&lt;&gt;"-",$B$3,0))</f>
        <v>0</v>
      </c>
      <c r="H91" s="114">
        <f t="shared" si="6"/>
        <v>0</v>
      </c>
      <c r="I91" s="105">
        <f t="shared" si="12"/>
        <v>0</v>
      </c>
      <c r="J91" s="105">
        <f t="shared" si="7"/>
        <v>0</v>
      </c>
      <c r="K91" s="132">
        <f t="shared" si="23"/>
        <v>0</v>
      </c>
      <c r="L91" s="133">
        <f t="shared" si="24"/>
        <v>0</v>
      </c>
      <c r="M91" s="132">
        <f>IF(SUM(K$28:K91)&gt;0,MIN(O90*(1+B$9)^(1/12),G$25-G91+K91),0)</f>
        <v>0</v>
      </c>
      <c r="N91" s="132">
        <f t="shared" si="8"/>
        <v>0</v>
      </c>
      <c r="O91" s="133">
        <f t="shared" si="9"/>
        <v>0</v>
      </c>
      <c r="P91" s="103">
        <f>SUM(N$27:N91)</f>
        <v>0</v>
      </c>
      <c r="Q91" s="103">
        <f t="shared" si="21"/>
        <v>0</v>
      </c>
      <c r="R91" s="103">
        <f t="shared" si="14"/>
        <v>0</v>
      </c>
      <c r="S91" s="103">
        <f t="shared" si="15"/>
        <v>0</v>
      </c>
      <c r="T91" s="103">
        <f t="shared" si="16"/>
        <v>0</v>
      </c>
      <c r="U91" s="96" t="s">
        <v>67</v>
      </c>
      <c r="V91" s="96" t="str">
        <f t="shared" si="10"/>
        <v>-</v>
      </c>
      <c r="W91" s="96" t="str">
        <f t="shared" si="17"/>
        <v>-</v>
      </c>
      <c r="X91" s="96" t="str">
        <f t="shared" si="18"/>
        <v>-</v>
      </c>
      <c r="Y91" s="107" t="str">
        <f t="shared" si="11"/>
        <v/>
      </c>
      <c r="Z91" s="71"/>
    </row>
    <row r="92" spans="1:26" x14ac:dyDescent="0.2">
      <c r="A92" s="108">
        <v>65</v>
      </c>
      <c r="B92" s="132">
        <f t="shared" si="22"/>
        <v>0</v>
      </c>
      <c r="C92" s="104">
        <f t="shared" si="19"/>
        <v>0</v>
      </c>
      <c r="D92" s="132">
        <f t="shared" ref="D92:D147" si="25">IF(Y92&lt;&gt;"-",$B$2,0)</f>
        <v>0</v>
      </c>
      <c r="E92" s="132">
        <f t="shared" ref="E92:E147" si="26">C92*(1+$B$9)^(1/12)-C92-F92</f>
        <v>0</v>
      </c>
      <c r="F92" s="132">
        <f t="shared" ref="F92:F147" si="27">C92*(1+$B$10)^(1/12)-C92</f>
        <v>0</v>
      </c>
      <c r="G92" s="114">
        <f>IF(SUM(K$27:K91)&gt;0,0,IF(Y92&lt;&gt;"-",$B$3,0))</f>
        <v>0</v>
      </c>
      <c r="H92" s="114">
        <f t="shared" ref="H92:H147" si="28">IF($B$7="No",F92,0)</f>
        <v>0</v>
      </c>
      <c r="I92" s="105">
        <f t="shared" si="12"/>
        <v>0</v>
      </c>
      <c r="J92" s="105">
        <f t="shared" ref="J92:J147" si="29">VLOOKUP(C92,$D$3:$J$9,7,TRUE)-VLOOKUP(C92,$D$3:$J$9,4,TRUE)*(VLOOKUP(C92,$D$3:$J$9,2,TRUE)-C92)/12</f>
        <v>0</v>
      </c>
      <c r="K92" s="132">
        <f t="shared" si="23"/>
        <v>0</v>
      </c>
      <c r="L92" s="133">
        <f t="shared" si="24"/>
        <v>0</v>
      </c>
      <c r="M92" s="132">
        <f>IF(SUM(K$28:K92)&gt;0,MIN(O91*(1+B$9)^(1/12),G$25-G92+K92),0)</f>
        <v>0</v>
      </c>
      <c r="N92" s="132">
        <f t="shared" ref="N92:N147" si="30">(O91-L91)*((1+B$9)^(1/12)-1)+J92+I92</f>
        <v>0</v>
      </c>
      <c r="O92" s="133">
        <f t="shared" ref="O92:O147" si="31">(O91)*(1+B$9)^(1/12)+D92-G92-H92-M92+K92/(1+B$9)</f>
        <v>0</v>
      </c>
      <c r="P92" s="103">
        <f>SUM(N$27:N92)</f>
        <v>0</v>
      </c>
      <c r="Q92" s="103">
        <f t="shared" si="21"/>
        <v>0</v>
      </c>
      <c r="R92" s="103">
        <f t="shared" si="14"/>
        <v>0</v>
      </c>
      <c r="S92" s="103">
        <f t="shared" si="15"/>
        <v>0</v>
      </c>
      <c r="T92" s="103">
        <f t="shared" si="16"/>
        <v>0</v>
      </c>
      <c r="U92" s="96" t="s">
        <v>67</v>
      </c>
      <c r="V92" s="96" t="str">
        <f t="shared" ref="V92:V147" si="32">IF(MOD(A92,3)=0,"q","-")</f>
        <v>-</v>
      </c>
      <c r="W92" s="96" t="str">
        <f t="shared" si="17"/>
        <v>-</v>
      </c>
      <c r="X92" s="96" t="str">
        <f t="shared" si="18"/>
        <v>-</v>
      </c>
      <c r="Y92" s="107" t="str">
        <f t="shared" ref="Y92:Y147" si="33">IF($B$15="Monthly",$U92,"")
&amp;IF($B$15="Quarterly",$V92,"")
&amp;IF($B$15="1/2 Yearly",$W92,"")
&amp;IF($B$15="Yearly",$X92,"")</f>
        <v/>
      </c>
      <c r="Z92" s="71"/>
    </row>
    <row r="93" spans="1:26" x14ac:dyDescent="0.2">
      <c r="A93" s="108">
        <v>66</v>
      </c>
      <c r="B93" s="132">
        <f t="shared" si="22"/>
        <v>0</v>
      </c>
      <c r="C93" s="104">
        <f t="shared" si="19"/>
        <v>0</v>
      </c>
      <c r="D93" s="132">
        <f t="shared" si="25"/>
        <v>0</v>
      </c>
      <c r="E93" s="132">
        <f t="shared" si="26"/>
        <v>0</v>
      </c>
      <c r="F93" s="132">
        <f t="shared" si="27"/>
        <v>0</v>
      </c>
      <c r="G93" s="114">
        <f>IF(SUM(K$27:K92)&gt;0,0,IF(Y93&lt;&gt;"-",$B$3,0))</f>
        <v>0</v>
      </c>
      <c r="H93" s="114">
        <f t="shared" si="28"/>
        <v>0</v>
      </c>
      <c r="I93" s="105">
        <f t="shared" ref="I93:I147" si="34">IF( A93&lt;12,($B$4+$B$6)*D93,IF(MOD(A93,12)=1,$B$8+($B$4+$B$6)*D93,($B$4+$B$6)*D93))</f>
        <v>0</v>
      </c>
      <c r="J93" s="105">
        <f t="shared" si="29"/>
        <v>0</v>
      </c>
      <c r="K93" s="132">
        <f t="shared" si="23"/>
        <v>0</v>
      </c>
      <c r="L93" s="133">
        <f t="shared" si="24"/>
        <v>0</v>
      </c>
      <c r="M93" s="132">
        <f>IF(SUM(K$28:K93)&gt;0,MIN(O92*(1+B$9)^(1/12),G$25-G93+K93),0)</f>
        <v>0</v>
      </c>
      <c r="N93" s="132">
        <f t="shared" si="30"/>
        <v>0</v>
      </c>
      <c r="O93" s="133">
        <f t="shared" si="31"/>
        <v>0</v>
      </c>
      <c r="P93" s="103">
        <f>SUM(N$27:N93)</f>
        <v>0</v>
      </c>
      <c r="Q93" s="103">
        <f t="shared" si="21"/>
        <v>0</v>
      </c>
      <c r="R93" s="103">
        <f t="shared" ref="R93:R147" si="35">R92+G93</f>
        <v>0</v>
      </c>
      <c r="S93" s="103">
        <f t="shared" ref="S93:S147" si="36">H93+S92</f>
        <v>0</v>
      </c>
      <c r="T93" s="103">
        <f t="shared" ref="T93:T147" si="37">L93</f>
        <v>0</v>
      </c>
      <c r="U93" s="96" t="s">
        <v>67</v>
      </c>
      <c r="V93" s="96" t="str">
        <f t="shared" si="32"/>
        <v>q</v>
      </c>
      <c r="W93" s="96" t="str">
        <f t="shared" ref="W93:W147" si="38">IF(MOD($A93,6)=0,"s","-")</f>
        <v>s</v>
      </c>
      <c r="X93" s="96" t="str">
        <f t="shared" ref="X93:X147" si="39">IF(MOD($A93,12)=0,"a","-")</f>
        <v>-</v>
      </c>
      <c r="Y93" s="107" t="str">
        <f t="shared" si="33"/>
        <v/>
      </c>
      <c r="Z93" s="71"/>
    </row>
    <row r="94" spans="1:26" x14ac:dyDescent="0.2">
      <c r="A94" s="108">
        <v>67</v>
      </c>
      <c r="B94" s="132">
        <f t="shared" si="22"/>
        <v>0</v>
      </c>
      <c r="C94" s="104">
        <f t="shared" ref="C94:C147" si="40">L93</f>
        <v>0</v>
      </c>
      <c r="D94" s="132">
        <f t="shared" si="25"/>
        <v>0</v>
      </c>
      <c r="E94" s="132">
        <f t="shared" si="26"/>
        <v>0</v>
      </c>
      <c r="F94" s="132">
        <f t="shared" si="27"/>
        <v>0</v>
      </c>
      <c r="G94" s="114">
        <f>IF(SUM(K$27:K93)&gt;0,0,IF(Y94&lt;&gt;"-",$B$3,0))</f>
        <v>0</v>
      </c>
      <c r="H94" s="114">
        <f t="shared" si="28"/>
        <v>0</v>
      </c>
      <c r="I94" s="105">
        <f t="shared" si="34"/>
        <v>0</v>
      </c>
      <c r="J94" s="105">
        <f t="shared" si="29"/>
        <v>0</v>
      </c>
      <c r="K94" s="132">
        <f t="shared" si="23"/>
        <v>0</v>
      </c>
      <c r="L94" s="133">
        <f t="shared" si="24"/>
        <v>0</v>
      </c>
      <c r="M94" s="132">
        <f>IF(SUM(K$28:K94)&gt;0,MIN(O93*(1+B$9)^(1/12),G$25-G94+K94),0)</f>
        <v>0</v>
      </c>
      <c r="N94" s="132">
        <f t="shared" si="30"/>
        <v>0</v>
      </c>
      <c r="O94" s="133">
        <f t="shared" si="31"/>
        <v>0</v>
      </c>
      <c r="P94" s="103">
        <f>SUM(N$27:N94)</f>
        <v>0</v>
      </c>
      <c r="Q94" s="103">
        <f t="shared" si="21"/>
        <v>0</v>
      </c>
      <c r="R94" s="103">
        <f t="shared" si="35"/>
        <v>0</v>
      </c>
      <c r="S94" s="103">
        <f t="shared" si="36"/>
        <v>0</v>
      </c>
      <c r="T94" s="103">
        <f t="shared" si="37"/>
        <v>0</v>
      </c>
      <c r="U94" s="96" t="s">
        <v>67</v>
      </c>
      <c r="V94" s="96" t="str">
        <f t="shared" si="32"/>
        <v>-</v>
      </c>
      <c r="W94" s="96" t="str">
        <f t="shared" si="38"/>
        <v>-</v>
      </c>
      <c r="X94" s="96" t="str">
        <f t="shared" si="39"/>
        <v>-</v>
      </c>
      <c r="Y94" s="107" t="str">
        <f t="shared" si="33"/>
        <v/>
      </c>
      <c r="Z94" s="71"/>
    </row>
    <row r="95" spans="1:26" x14ac:dyDescent="0.2">
      <c r="A95" s="108">
        <v>68</v>
      </c>
      <c r="B95" s="132">
        <f t="shared" si="22"/>
        <v>0</v>
      </c>
      <c r="C95" s="104">
        <f t="shared" si="40"/>
        <v>0</v>
      </c>
      <c r="D95" s="132">
        <f t="shared" si="25"/>
        <v>0</v>
      </c>
      <c r="E95" s="132">
        <f t="shared" si="26"/>
        <v>0</v>
      </c>
      <c r="F95" s="132">
        <f t="shared" si="27"/>
        <v>0</v>
      </c>
      <c r="G95" s="114">
        <f>IF(SUM(K$27:K94)&gt;0,0,IF(Y95&lt;&gt;"-",$B$3,0))</f>
        <v>0</v>
      </c>
      <c r="H95" s="114">
        <f t="shared" si="28"/>
        <v>0</v>
      </c>
      <c r="I95" s="105">
        <f t="shared" si="34"/>
        <v>0</v>
      </c>
      <c r="J95" s="105">
        <f t="shared" si="29"/>
        <v>0</v>
      </c>
      <c r="K95" s="132">
        <f t="shared" si="23"/>
        <v>0</v>
      </c>
      <c r="L95" s="133">
        <f t="shared" si="24"/>
        <v>0</v>
      </c>
      <c r="M95" s="132">
        <f>IF(SUM(K$28:K95)&gt;0,MIN(O94*(1+B$9)^(1/12),G$25-G95+K95),0)</f>
        <v>0</v>
      </c>
      <c r="N95" s="132">
        <f t="shared" si="30"/>
        <v>0</v>
      </c>
      <c r="O95" s="133">
        <f t="shared" si="31"/>
        <v>0</v>
      </c>
      <c r="P95" s="103">
        <f>SUM(N$27:N95)</f>
        <v>0</v>
      </c>
      <c r="Q95" s="103">
        <f t="shared" si="21"/>
        <v>0</v>
      </c>
      <c r="R95" s="103">
        <f t="shared" si="35"/>
        <v>0</v>
      </c>
      <c r="S95" s="103">
        <f t="shared" si="36"/>
        <v>0</v>
      </c>
      <c r="T95" s="103">
        <f t="shared" si="37"/>
        <v>0</v>
      </c>
      <c r="U95" s="96" t="s">
        <v>67</v>
      </c>
      <c r="V95" s="96" t="str">
        <f t="shared" si="32"/>
        <v>-</v>
      </c>
      <c r="W95" s="96" t="str">
        <f t="shared" si="38"/>
        <v>-</v>
      </c>
      <c r="X95" s="96" t="str">
        <f t="shared" si="39"/>
        <v>-</v>
      </c>
      <c r="Y95" s="107" t="str">
        <f t="shared" si="33"/>
        <v/>
      </c>
      <c r="Z95" s="71"/>
    </row>
    <row r="96" spans="1:26" x14ac:dyDescent="0.2">
      <c r="A96" s="108">
        <v>69</v>
      </c>
      <c r="B96" s="132">
        <f t="shared" si="22"/>
        <v>0</v>
      </c>
      <c r="C96" s="104">
        <f t="shared" si="40"/>
        <v>0</v>
      </c>
      <c r="D96" s="132">
        <f t="shared" si="25"/>
        <v>0</v>
      </c>
      <c r="E96" s="132">
        <f t="shared" si="26"/>
        <v>0</v>
      </c>
      <c r="F96" s="132">
        <f t="shared" si="27"/>
        <v>0</v>
      </c>
      <c r="G96" s="114">
        <f>IF(SUM(K$27:K95)&gt;0,0,IF(Y96&lt;&gt;"-",$B$3,0))</f>
        <v>0</v>
      </c>
      <c r="H96" s="114">
        <f t="shared" si="28"/>
        <v>0</v>
      </c>
      <c r="I96" s="105">
        <f t="shared" si="34"/>
        <v>0</v>
      </c>
      <c r="J96" s="105">
        <f t="shared" si="29"/>
        <v>0</v>
      </c>
      <c r="K96" s="132">
        <f t="shared" si="23"/>
        <v>0</v>
      </c>
      <c r="L96" s="133">
        <f t="shared" si="24"/>
        <v>0</v>
      </c>
      <c r="M96" s="132">
        <f>IF(SUM(K$28:K96)&gt;0,MIN(O95*(1+B$9)^(1/12),G$25-G96+K96),0)</f>
        <v>0</v>
      </c>
      <c r="N96" s="132">
        <f t="shared" si="30"/>
        <v>0</v>
      </c>
      <c r="O96" s="133">
        <f t="shared" si="31"/>
        <v>0</v>
      </c>
      <c r="P96" s="103">
        <f>SUM(N$27:N96)</f>
        <v>0</v>
      </c>
      <c r="Q96" s="103">
        <f t="shared" ref="Q96:Q147" si="41">Q95+D96</f>
        <v>0</v>
      </c>
      <c r="R96" s="103">
        <f t="shared" si="35"/>
        <v>0</v>
      </c>
      <c r="S96" s="103">
        <f t="shared" si="36"/>
        <v>0</v>
      </c>
      <c r="T96" s="103">
        <f t="shared" si="37"/>
        <v>0</v>
      </c>
      <c r="U96" s="96" t="s">
        <v>67</v>
      </c>
      <c r="V96" s="96" t="str">
        <f t="shared" si="32"/>
        <v>q</v>
      </c>
      <c r="W96" s="96" t="str">
        <f t="shared" si="38"/>
        <v>-</v>
      </c>
      <c r="X96" s="96" t="str">
        <f t="shared" si="39"/>
        <v>-</v>
      </c>
      <c r="Y96" s="107" t="str">
        <f t="shared" si="33"/>
        <v/>
      </c>
      <c r="Z96" s="71"/>
    </row>
    <row r="97" spans="1:26" x14ac:dyDescent="0.2">
      <c r="A97" s="108">
        <v>70</v>
      </c>
      <c r="B97" s="132">
        <f t="shared" si="22"/>
        <v>0</v>
      </c>
      <c r="C97" s="104">
        <f t="shared" si="40"/>
        <v>0</v>
      </c>
      <c r="D97" s="132">
        <f t="shared" si="25"/>
        <v>0</v>
      </c>
      <c r="E97" s="132">
        <f t="shared" si="26"/>
        <v>0</v>
      </c>
      <c r="F97" s="132">
        <f t="shared" si="27"/>
        <v>0</v>
      </c>
      <c r="G97" s="114">
        <f>IF(SUM(K$27:K96)&gt;0,0,IF(Y97&lt;&gt;"-",$B$3,0))</f>
        <v>0</v>
      </c>
      <c r="H97" s="114">
        <f t="shared" si="28"/>
        <v>0</v>
      </c>
      <c r="I97" s="105">
        <f t="shared" si="34"/>
        <v>0</v>
      </c>
      <c r="J97" s="105">
        <f t="shared" si="29"/>
        <v>0</v>
      </c>
      <c r="K97" s="132">
        <f t="shared" si="23"/>
        <v>0</v>
      </c>
      <c r="L97" s="133">
        <f t="shared" si="24"/>
        <v>0</v>
      </c>
      <c r="M97" s="132">
        <f>IF(SUM(K$28:K97)&gt;0,MIN(O96*(1+B$9)^(1/12),G$25-G97+K97),0)</f>
        <v>0</v>
      </c>
      <c r="N97" s="132">
        <f t="shared" si="30"/>
        <v>0</v>
      </c>
      <c r="O97" s="133">
        <f t="shared" si="31"/>
        <v>0</v>
      </c>
      <c r="P97" s="103">
        <f>SUM(N$27:N97)</f>
        <v>0</v>
      </c>
      <c r="Q97" s="103">
        <f t="shared" si="41"/>
        <v>0</v>
      </c>
      <c r="R97" s="103">
        <f t="shared" si="35"/>
        <v>0</v>
      </c>
      <c r="S97" s="103">
        <f t="shared" si="36"/>
        <v>0</v>
      </c>
      <c r="T97" s="103">
        <f t="shared" si="37"/>
        <v>0</v>
      </c>
      <c r="U97" s="96" t="s">
        <v>67</v>
      </c>
      <c r="V97" s="96" t="str">
        <f t="shared" si="32"/>
        <v>-</v>
      </c>
      <c r="W97" s="96" t="str">
        <f t="shared" si="38"/>
        <v>-</v>
      </c>
      <c r="X97" s="96" t="str">
        <f t="shared" si="39"/>
        <v>-</v>
      </c>
      <c r="Y97" s="107" t="str">
        <f t="shared" si="33"/>
        <v/>
      </c>
      <c r="Z97" s="71"/>
    </row>
    <row r="98" spans="1:26" x14ac:dyDescent="0.2">
      <c r="A98" s="108">
        <v>71</v>
      </c>
      <c r="B98" s="132">
        <f t="shared" si="22"/>
        <v>0</v>
      </c>
      <c r="C98" s="104">
        <f t="shared" si="40"/>
        <v>0</v>
      </c>
      <c r="D98" s="132">
        <f t="shared" si="25"/>
        <v>0</v>
      </c>
      <c r="E98" s="132">
        <f t="shared" si="26"/>
        <v>0</v>
      </c>
      <c r="F98" s="132">
        <f t="shared" si="27"/>
        <v>0</v>
      </c>
      <c r="G98" s="114">
        <f>IF(SUM(K$27:K97)&gt;0,0,IF(Y98&lt;&gt;"-",$B$3,0))</f>
        <v>0</v>
      </c>
      <c r="H98" s="114">
        <f t="shared" si="28"/>
        <v>0</v>
      </c>
      <c r="I98" s="105">
        <f t="shared" si="34"/>
        <v>0</v>
      </c>
      <c r="J98" s="105">
        <f t="shared" si="29"/>
        <v>0</v>
      </c>
      <c r="K98" s="132">
        <f t="shared" si="23"/>
        <v>0</v>
      </c>
      <c r="L98" s="133">
        <f t="shared" si="24"/>
        <v>0</v>
      </c>
      <c r="M98" s="132">
        <f>IF(SUM(K$28:K98)&gt;0,MIN(O97*(1+B$9)^(1/12),G$25-G98+K98),0)</f>
        <v>0</v>
      </c>
      <c r="N98" s="132">
        <f t="shared" si="30"/>
        <v>0</v>
      </c>
      <c r="O98" s="133">
        <f t="shared" si="31"/>
        <v>0</v>
      </c>
      <c r="P98" s="103">
        <f>SUM(N$27:N98)</f>
        <v>0</v>
      </c>
      <c r="Q98" s="103">
        <f t="shared" si="41"/>
        <v>0</v>
      </c>
      <c r="R98" s="103">
        <f t="shared" si="35"/>
        <v>0</v>
      </c>
      <c r="S98" s="103">
        <f t="shared" si="36"/>
        <v>0</v>
      </c>
      <c r="T98" s="103">
        <f t="shared" si="37"/>
        <v>0</v>
      </c>
      <c r="U98" s="96" t="s">
        <v>67</v>
      </c>
      <c r="V98" s="96" t="str">
        <f t="shared" si="32"/>
        <v>-</v>
      </c>
      <c r="W98" s="96" t="str">
        <f t="shared" si="38"/>
        <v>-</v>
      </c>
      <c r="X98" s="96" t="str">
        <f t="shared" si="39"/>
        <v>-</v>
      </c>
      <c r="Y98" s="107" t="str">
        <f t="shared" si="33"/>
        <v/>
      </c>
      <c r="Z98" s="71"/>
    </row>
    <row r="99" spans="1:26" x14ac:dyDescent="0.2">
      <c r="A99" s="110">
        <v>72</v>
      </c>
      <c r="B99" s="111">
        <f t="shared" si="22"/>
        <v>0</v>
      </c>
      <c r="C99" s="111">
        <f t="shared" si="40"/>
        <v>0</v>
      </c>
      <c r="D99" s="111">
        <f t="shared" si="25"/>
        <v>0</v>
      </c>
      <c r="E99" s="111">
        <f t="shared" si="26"/>
        <v>0</v>
      </c>
      <c r="F99" s="111">
        <f t="shared" si="27"/>
        <v>0</v>
      </c>
      <c r="G99" s="112">
        <f>IF(SUM(K$27:K98)&gt;0,0,IF(Y99&lt;&gt;"-",$B$3,0))</f>
        <v>0</v>
      </c>
      <c r="H99" s="112">
        <f t="shared" si="28"/>
        <v>0</v>
      </c>
      <c r="I99" s="112">
        <f t="shared" si="34"/>
        <v>0</v>
      </c>
      <c r="J99" s="112">
        <f t="shared" si="29"/>
        <v>0</v>
      </c>
      <c r="K99" s="111">
        <f t="shared" si="23"/>
        <v>0</v>
      </c>
      <c r="L99" s="113">
        <f t="shared" si="24"/>
        <v>0</v>
      </c>
      <c r="M99" s="111">
        <f>IF(SUM(K$28:K99)&gt;0,MIN(O98*(1+B$9)^(1/12),G$25-G99+K99),0)</f>
        <v>0</v>
      </c>
      <c r="N99" s="111">
        <f t="shared" si="30"/>
        <v>0</v>
      </c>
      <c r="O99" s="113">
        <f t="shared" si="31"/>
        <v>0</v>
      </c>
      <c r="P99" s="111">
        <f>SUM(N$27:N99)</f>
        <v>0</v>
      </c>
      <c r="Q99" s="111">
        <f t="shared" si="41"/>
        <v>0</v>
      </c>
      <c r="R99" s="111">
        <f t="shared" si="35"/>
        <v>0</v>
      </c>
      <c r="S99" s="111">
        <f t="shared" si="36"/>
        <v>0</v>
      </c>
      <c r="T99" s="111">
        <f t="shared" si="37"/>
        <v>0</v>
      </c>
      <c r="U99" s="101" t="s">
        <v>67</v>
      </c>
      <c r="V99" s="101" t="str">
        <f t="shared" si="32"/>
        <v>q</v>
      </c>
      <c r="W99" s="101" t="str">
        <f t="shared" si="38"/>
        <v>s</v>
      </c>
      <c r="X99" s="101" t="str">
        <f t="shared" si="39"/>
        <v>a</v>
      </c>
      <c r="Y99" s="107" t="str">
        <f t="shared" si="33"/>
        <v/>
      </c>
      <c r="Z99" s="71"/>
    </row>
    <row r="100" spans="1:26" x14ac:dyDescent="0.2">
      <c r="A100" s="108">
        <v>73</v>
      </c>
      <c r="B100" s="132">
        <f t="shared" si="22"/>
        <v>0</v>
      </c>
      <c r="C100" s="104">
        <f t="shared" si="40"/>
        <v>0</v>
      </c>
      <c r="D100" s="132">
        <f t="shared" si="25"/>
        <v>0</v>
      </c>
      <c r="E100" s="132">
        <f t="shared" si="26"/>
        <v>0</v>
      </c>
      <c r="F100" s="132">
        <f t="shared" si="27"/>
        <v>0</v>
      </c>
      <c r="G100" s="114">
        <f>IF(SUM(K$27:K99)&gt;0,0,IF(Y100&lt;&gt;"-",$B$3,0))</f>
        <v>0</v>
      </c>
      <c r="H100" s="114">
        <f t="shared" si="28"/>
        <v>0</v>
      </c>
      <c r="I100" s="105">
        <f t="shared" si="34"/>
        <v>0</v>
      </c>
      <c r="J100" s="105">
        <f t="shared" si="29"/>
        <v>0</v>
      </c>
      <c r="K100" s="132">
        <f t="shared" si="23"/>
        <v>0</v>
      </c>
      <c r="L100" s="133">
        <f t="shared" si="24"/>
        <v>0</v>
      </c>
      <c r="M100" s="132">
        <f>IF(SUM(K$28:K100)&gt;0,MIN(O99*(1+B$9)^(1/12),G$25-G100+K100),0)</f>
        <v>0</v>
      </c>
      <c r="N100" s="132">
        <f t="shared" si="30"/>
        <v>0</v>
      </c>
      <c r="O100" s="133">
        <f t="shared" si="31"/>
        <v>0</v>
      </c>
      <c r="P100" s="103">
        <f>SUM(N$27:N100)</f>
        <v>0</v>
      </c>
      <c r="Q100" s="103">
        <f t="shared" si="41"/>
        <v>0</v>
      </c>
      <c r="R100" s="103">
        <f t="shared" si="35"/>
        <v>0</v>
      </c>
      <c r="S100" s="103">
        <f t="shared" si="36"/>
        <v>0</v>
      </c>
      <c r="T100" s="103">
        <f t="shared" si="37"/>
        <v>0</v>
      </c>
      <c r="U100" s="96" t="s">
        <v>67</v>
      </c>
      <c r="V100" s="96" t="str">
        <f t="shared" si="32"/>
        <v>-</v>
      </c>
      <c r="W100" s="96" t="str">
        <f t="shared" si="38"/>
        <v>-</v>
      </c>
      <c r="X100" s="96" t="str">
        <f t="shared" si="39"/>
        <v>-</v>
      </c>
      <c r="Y100" s="107" t="str">
        <f t="shared" si="33"/>
        <v/>
      </c>
      <c r="Z100" s="71"/>
    </row>
    <row r="101" spans="1:26" x14ac:dyDescent="0.2">
      <c r="A101" s="108">
        <v>74</v>
      </c>
      <c r="B101" s="132">
        <f t="shared" si="22"/>
        <v>0</v>
      </c>
      <c r="C101" s="104">
        <f t="shared" si="40"/>
        <v>0</v>
      </c>
      <c r="D101" s="132">
        <f t="shared" si="25"/>
        <v>0</v>
      </c>
      <c r="E101" s="132">
        <f t="shared" si="26"/>
        <v>0</v>
      </c>
      <c r="F101" s="132">
        <f t="shared" si="27"/>
        <v>0</v>
      </c>
      <c r="G101" s="114">
        <f>IF(SUM(K$27:K100)&gt;0,0,IF(Y101&lt;&gt;"-",$B$3,0))</f>
        <v>0</v>
      </c>
      <c r="H101" s="114">
        <f t="shared" si="28"/>
        <v>0</v>
      </c>
      <c r="I101" s="105">
        <f t="shared" si="34"/>
        <v>0</v>
      </c>
      <c r="J101" s="105">
        <f t="shared" si="29"/>
        <v>0</v>
      </c>
      <c r="K101" s="132">
        <f t="shared" si="23"/>
        <v>0</v>
      </c>
      <c r="L101" s="133">
        <f t="shared" si="24"/>
        <v>0</v>
      </c>
      <c r="M101" s="132">
        <f>IF(SUM(K$28:K101)&gt;0,MIN(O100*(1+B$9)^(1/12),G$25-G101+K101),0)</f>
        <v>0</v>
      </c>
      <c r="N101" s="132">
        <f t="shared" si="30"/>
        <v>0</v>
      </c>
      <c r="O101" s="133">
        <f t="shared" si="31"/>
        <v>0</v>
      </c>
      <c r="P101" s="103">
        <f>SUM(N$27:N101)</f>
        <v>0</v>
      </c>
      <c r="Q101" s="103">
        <f t="shared" si="41"/>
        <v>0</v>
      </c>
      <c r="R101" s="103">
        <f t="shared" si="35"/>
        <v>0</v>
      </c>
      <c r="S101" s="103">
        <f t="shared" si="36"/>
        <v>0</v>
      </c>
      <c r="T101" s="103">
        <f t="shared" si="37"/>
        <v>0</v>
      </c>
      <c r="U101" s="96" t="s">
        <v>67</v>
      </c>
      <c r="V101" s="96" t="str">
        <f t="shared" si="32"/>
        <v>-</v>
      </c>
      <c r="W101" s="96" t="str">
        <f t="shared" si="38"/>
        <v>-</v>
      </c>
      <c r="X101" s="96" t="str">
        <f t="shared" si="39"/>
        <v>-</v>
      </c>
      <c r="Y101" s="107" t="str">
        <f t="shared" si="33"/>
        <v/>
      </c>
      <c r="Z101" s="71"/>
    </row>
    <row r="102" spans="1:26" x14ac:dyDescent="0.2">
      <c r="A102" s="108">
        <v>75</v>
      </c>
      <c r="B102" s="132">
        <f t="shared" si="22"/>
        <v>0</v>
      </c>
      <c r="C102" s="104">
        <f t="shared" si="40"/>
        <v>0</v>
      </c>
      <c r="D102" s="132">
        <f t="shared" si="25"/>
        <v>0</v>
      </c>
      <c r="E102" s="132">
        <f t="shared" si="26"/>
        <v>0</v>
      </c>
      <c r="F102" s="132">
        <f t="shared" si="27"/>
        <v>0</v>
      </c>
      <c r="G102" s="114">
        <f>IF(SUM(K$27:K101)&gt;0,0,IF(Y102&lt;&gt;"-",$B$3,0))</f>
        <v>0</v>
      </c>
      <c r="H102" s="114">
        <f t="shared" si="28"/>
        <v>0</v>
      </c>
      <c r="I102" s="105">
        <f t="shared" si="34"/>
        <v>0</v>
      </c>
      <c r="J102" s="105">
        <f t="shared" si="29"/>
        <v>0</v>
      </c>
      <c r="K102" s="132">
        <f t="shared" si="23"/>
        <v>0</v>
      </c>
      <c r="L102" s="133">
        <f t="shared" si="24"/>
        <v>0</v>
      </c>
      <c r="M102" s="132">
        <f>IF(SUM(K$28:K102)&gt;0,MIN(O101*(1+B$9)^(1/12),G$25-G102+K102),0)</f>
        <v>0</v>
      </c>
      <c r="N102" s="132">
        <f t="shared" si="30"/>
        <v>0</v>
      </c>
      <c r="O102" s="133">
        <f t="shared" si="31"/>
        <v>0</v>
      </c>
      <c r="P102" s="103">
        <f>SUM(N$27:N102)</f>
        <v>0</v>
      </c>
      <c r="Q102" s="103">
        <f t="shared" si="41"/>
        <v>0</v>
      </c>
      <c r="R102" s="103">
        <f t="shared" si="35"/>
        <v>0</v>
      </c>
      <c r="S102" s="103">
        <f t="shared" si="36"/>
        <v>0</v>
      </c>
      <c r="T102" s="103">
        <f t="shared" si="37"/>
        <v>0</v>
      </c>
      <c r="U102" s="96" t="s">
        <v>67</v>
      </c>
      <c r="V102" s="96" t="str">
        <f t="shared" si="32"/>
        <v>q</v>
      </c>
      <c r="W102" s="96" t="str">
        <f t="shared" si="38"/>
        <v>-</v>
      </c>
      <c r="X102" s="96" t="str">
        <f t="shared" si="39"/>
        <v>-</v>
      </c>
      <c r="Y102" s="107" t="str">
        <f t="shared" si="33"/>
        <v/>
      </c>
      <c r="Z102" s="71"/>
    </row>
    <row r="103" spans="1:26" x14ac:dyDescent="0.2">
      <c r="A103" s="108">
        <v>76</v>
      </c>
      <c r="B103" s="132">
        <f t="shared" si="22"/>
        <v>0</v>
      </c>
      <c r="C103" s="104">
        <f t="shared" si="40"/>
        <v>0</v>
      </c>
      <c r="D103" s="132">
        <f t="shared" si="25"/>
        <v>0</v>
      </c>
      <c r="E103" s="132">
        <f t="shared" si="26"/>
        <v>0</v>
      </c>
      <c r="F103" s="132">
        <f t="shared" si="27"/>
        <v>0</v>
      </c>
      <c r="G103" s="114">
        <f>IF(SUM(K$27:K102)&gt;0,0,IF(Y103&lt;&gt;"-",$B$3,0))</f>
        <v>0</v>
      </c>
      <c r="H103" s="114">
        <f t="shared" si="28"/>
        <v>0</v>
      </c>
      <c r="I103" s="105">
        <f t="shared" si="34"/>
        <v>0</v>
      </c>
      <c r="J103" s="105">
        <f t="shared" si="29"/>
        <v>0</v>
      </c>
      <c r="K103" s="132">
        <f t="shared" si="23"/>
        <v>0</v>
      </c>
      <c r="L103" s="133">
        <f t="shared" si="24"/>
        <v>0</v>
      </c>
      <c r="M103" s="132">
        <f>IF(SUM(K$28:K103)&gt;0,MIN(O102*(1+B$9)^(1/12),G$25-G103+K103),0)</f>
        <v>0</v>
      </c>
      <c r="N103" s="132">
        <f t="shared" si="30"/>
        <v>0</v>
      </c>
      <c r="O103" s="133">
        <f t="shared" si="31"/>
        <v>0</v>
      </c>
      <c r="P103" s="103">
        <f>SUM(N$27:N103)</f>
        <v>0</v>
      </c>
      <c r="Q103" s="103">
        <f t="shared" si="41"/>
        <v>0</v>
      </c>
      <c r="R103" s="103">
        <f t="shared" si="35"/>
        <v>0</v>
      </c>
      <c r="S103" s="103">
        <f t="shared" si="36"/>
        <v>0</v>
      </c>
      <c r="T103" s="103">
        <f t="shared" si="37"/>
        <v>0</v>
      </c>
      <c r="U103" s="96" t="s">
        <v>67</v>
      </c>
      <c r="V103" s="96" t="str">
        <f t="shared" si="32"/>
        <v>-</v>
      </c>
      <c r="W103" s="96" t="str">
        <f t="shared" si="38"/>
        <v>-</v>
      </c>
      <c r="X103" s="96" t="str">
        <f t="shared" si="39"/>
        <v>-</v>
      </c>
      <c r="Y103" s="107" t="str">
        <f t="shared" si="33"/>
        <v/>
      </c>
      <c r="Z103" s="71"/>
    </row>
    <row r="104" spans="1:26" x14ac:dyDescent="0.2">
      <c r="A104" s="108">
        <v>77</v>
      </c>
      <c r="B104" s="132">
        <f t="shared" si="22"/>
        <v>0</v>
      </c>
      <c r="C104" s="104">
        <f t="shared" si="40"/>
        <v>0</v>
      </c>
      <c r="D104" s="132">
        <f t="shared" si="25"/>
        <v>0</v>
      </c>
      <c r="E104" s="132">
        <f t="shared" si="26"/>
        <v>0</v>
      </c>
      <c r="F104" s="132">
        <f t="shared" si="27"/>
        <v>0</v>
      </c>
      <c r="G104" s="114">
        <f>IF(SUM(K$27:K103)&gt;0,0,IF(Y104&lt;&gt;"-",$B$3,0))</f>
        <v>0</v>
      </c>
      <c r="H104" s="114">
        <f t="shared" si="28"/>
        <v>0</v>
      </c>
      <c r="I104" s="105">
        <f t="shared" si="34"/>
        <v>0</v>
      </c>
      <c r="J104" s="105">
        <f t="shared" si="29"/>
        <v>0</v>
      </c>
      <c r="K104" s="132">
        <f t="shared" si="23"/>
        <v>0</v>
      </c>
      <c r="L104" s="133">
        <f t="shared" si="24"/>
        <v>0</v>
      </c>
      <c r="M104" s="132">
        <f>IF(SUM(K$28:K104)&gt;0,MIN(O103*(1+B$9)^(1/12),G$25-G104+K104),0)</f>
        <v>0</v>
      </c>
      <c r="N104" s="132">
        <f t="shared" si="30"/>
        <v>0</v>
      </c>
      <c r="O104" s="133">
        <f t="shared" si="31"/>
        <v>0</v>
      </c>
      <c r="P104" s="103">
        <f>SUM(N$27:N104)</f>
        <v>0</v>
      </c>
      <c r="Q104" s="103">
        <f t="shared" si="41"/>
        <v>0</v>
      </c>
      <c r="R104" s="103">
        <f t="shared" si="35"/>
        <v>0</v>
      </c>
      <c r="S104" s="103">
        <f t="shared" si="36"/>
        <v>0</v>
      </c>
      <c r="T104" s="103">
        <f t="shared" si="37"/>
        <v>0</v>
      </c>
      <c r="U104" s="96" t="s">
        <v>67</v>
      </c>
      <c r="V104" s="96" t="str">
        <f t="shared" si="32"/>
        <v>-</v>
      </c>
      <c r="W104" s="96" t="str">
        <f t="shared" si="38"/>
        <v>-</v>
      </c>
      <c r="X104" s="96" t="str">
        <f t="shared" si="39"/>
        <v>-</v>
      </c>
      <c r="Y104" s="107" t="str">
        <f t="shared" si="33"/>
        <v/>
      </c>
      <c r="Z104" s="71"/>
    </row>
    <row r="105" spans="1:26" x14ac:dyDescent="0.2">
      <c r="A105" s="108">
        <v>78</v>
      </c>
      <c r="B105" s="132">
        <f t="shared" si="22"/>
        <v>0</v>
      </c>
      <c r="C105" s="104">
        <f t="shared" si="40"/>
        <v>0</v>
      </c>
      <c r="D105" s="132">
        <f t="shared" si="25"/>
        <v>0</v>
      </c>
      <c r="E105" s="132">
        <f t="shared" si="26"/>
        <v>0</v>
      </c>
      <c r="F105" s="132">
        <f t="shared" si="27"/>
        <v>0</v>
      </c>
      <c r="G105" s="114">
        <f>IF(SUM(K$27:K104)&gt;0,0,IF(Y105&lt;&gt;"-",$B$3,0))</f>
        <v>0</v>
      </c>
      <c r="H105" s="114">
        <f t="shared" si="28"/>
        <v>0</v>
      </c>
      <c r="I105" s="105">
        <f t="shared" si="34"/>
        <v>0</v>
      </c>
      <c r="J105" s="105">
        <f t="shared" si="29"/>
        <v>0</v>
      </c>
      <c r="K105" s="132">
        <f t="shared" si="23"/>
        <v>0</v>
      </c>
      <c r="L105" s="133">
        <f t="shared" si="24"/>
        <v>0</v>
      </c>
      <c r="M105" s="132">
        <f>IF(SUM(K$28:K105)&gt;0,MIN(O104*(1+B$9)^(1/12),G$25-G105+K105),0)</f>
        <v>0</v>
      </c>
      <c r="N105" s="132">
        <f t="shared" si="30"/>
        <v>0</v>
      </c>
      <c r="O105" s="133">
        <f t="shared" si="31"/>
        <v>0</v>
      </c>
      <c r="P105" s="103">
        <f>SUM(N$27:N105)</f>
        <v>0</v>
      </c>
      <c r="Q105" s="103">
        <f t="shared" si="41"/>
        <v>0</v>
      </c>
      <c r="R105" s="103">
        <f t="shared" si="35"/>
        <v>0</v>
      </c>
      <c r="S105" s="103">
        <f t="shared" si="36"/>
        <v>0</v>
      </c>
      <c r="T105" s="103">
        <f t="shared" si="37"/>
        <v>0</v>
      </c>
      <c r="U105" s="96" t="s">
        <v>67</v>
      </c>
      <c r="V105" s="96" t="str">
        <f t="shared" si="32"/>
        <v>q</v>
      </c>
      <c r="W105" s="96" t="str">
        <f t="shared" si="38"/>
        <v>s</v>
      </c>
      <c r="X105" s="96" t="str">
        <f t="shared" si="39"/>
        <v>-</v>
      </c>
      <c r="Y105" s="107" t="str">
        <f t="shared" si="33"/>
        <v/>
      </c>
      <c r="Z105" s="71"/>
    </row>
    <row r="106" spans="1:26" x14ac:dyDescent="0.2">
      <c r="A106" s="108">
        <v>79</v>
      </c>
      <c r="B106" s="132">
        <f t="shared" si="22"/>
        <v>0</v>
      </c>
      <c r="C106" s="104">
        <f t="shared" si="40"/>
        <v>0</v>
      </c>
      <c r="D106" s="132">
        <f t="shared" si="25"/>
        <v>0</v>
      </c>
      <c r="E106" s="132">
        <f t="shared" si="26"/>
        <v>0</v>
      </c>
      <c r="F106" s="132">
        <f t="shared" si="27"/>
        <v>0</v>
      </c>
      <c r="G106" s="114">
        <f>IF(SUM(K$27:K105)&gt;0,0,IF(Y106&lt;&gt;"-",$B$3,0))</f>
        <v>0</v>
      </c>
      <c r="H106" s="114">
        <f t="shared" si="28"/>
        <v>0</v>
      </c>
      <c r="I106" s="105">
        <f t="shared" si="34"/>
        <v>0</v>
      </c>
      <c r="J106" s="105">
        <f t="shared" si="29"/>
        <v>0</v>
      </c>
      <c r="K106" s="132">
        <f t="shared" si="23"/>
        <v>0</v>
      </c>
      <c r="L106" s="133">
        <f t="shared" si="24"/>
        <v>0</v>
      </c>
      <c r="M106" s="132">
        <f>IF(SUM(K$28:K106)&gt;0,MIN(O105*(1+B$9)^(1/12),G$25-G106+K106),0)</f>
        <v>0</v>
      </c>
      <c r="N106" s="132">
        <f t="shared" si="30"/>
        <v>0</v>
      </c>
      <c r="O106" s="133">
        <f t="shared" si="31"/>
        <v>0</v>
      </c>
      <c r="P106" s="103">
        <f>SUM(N$27:N106)</f>
        <v>0</v>
      </c>
      <c r="Q106" s="103">
        <f t="shared" si="41"/>
        <v>0</v>
      </c>
      <c r="R106" s="103">
        <f t="shared" si="35"/>
        <v>0</v>
      </c>
      <c r="S106" s="103">
        <f t="shared" si="36"/>
        <v>0</v>
      </c>
      <c r="T106" s="103">
        <f t="shared" si="37"/>
        <v>0</v>
      </c>
      <c r="U106" s="96" t="s">
        <v>67</v>
      </c>
      <c r="V106" s="96" t="str">
        <f t="shared" si="32"/>
        <v>-</v>
      </c>
      <c r="W106" s="96" t="str">
        <f t="shared" si="38"/>
        <v>-</v>
      </c>
      <c r="X106" s="96" t="str">
        <f t="shared" si="39"/>
        <v>-</v>
      </c>
      <c r="Y106" s="107" t="str">
        <f t="shared" si="33"/>
        <v/>
      </c>
      <c r="Z106" s="71"/>
    </row>
    <row r="107" spans="1:26" x14ac:dyDescent="0.2">
      <c r="A107" s="108">
        <v>80</v>
      </c>
      <c r="B107" s="132">
        <f t="shared" si="22"/>
        <v>0</v>
      </c>
      <c r="C107" s="104">
        <f t="shared" si="40"/>
        <v>0</v>
      </c>
      <c r="D107" s="132">
        <f t="shared" si="25"/>
        <v>0</v>
      </c>
      <c r="E107" s="132">
        <f t="shared" si="26"/>
        <v>0</v>
      </c>
      <c r="F107" s="132">
        <f t="shared" si="27"/>
        <v>0</v>
      </c>
      <c r="G107" s="114">
        <f>IF(SUM(K$27:K106)&gt;0,0,IF(Y107&lt;&gt;"-",$B$3,0))</f>
        <v>0</v>
      </c>
      <c r="H107" s="114">
        <f t="shared" si="28"/>
        <v>0</v>
      </c>
      <c r="I107" s="105">
        <f t="shared" si="34"/>
        <v>0</v>
      </c>
      <c r="J107" s="105">
        <f t="shared" si="29"/>
        <v>0</v>
      </c>
      <c r="K107" s="132">
        <f t="shared" si="23"/>
        <v>0</v>
      </c>
      <c r="L107" s="133">
        <f t="shared" si="24"/>
        <v>0</v>
      </c>
      <c r="M107" s="132">
        <f>IF(SUM(K$28:K107)&gt;0,MIN(O106*(1+B$9)^(1/12),G$25-G107+K107),0)</f>
        <v>0</v>
      </c>
      <c r="N107" s="132">
        <f t="shared" si="30"/>
        <v>0</v>
      </c>
      <c r="O107" s="133">
        <f t="shared" si="31"/>
        <v>0</v>
      </c>
      <c r="P107" s="103">
        <f>SUM(N$27:N107)</f>
        <v>0</v>
      </c>
      <c r="Q107" s="103">
        <f t="shared" si="41"/>
        <v>0</v>
      </c>
      <c r="R107" s="103">
        <f t="shared" si="35"/>
        <v>0</v>
      </c>
      <c r="S107" s="103">
        <f t="shared" si="36"/>
        <v>0</v>
      </c>
      <c r="T107" s="103">
        <f t="shared" si="37"/>
        <v>0</v>
      </c>
      <c r="U107" s="96" t="s">
        <v>67</v>
      </c>
      <c r="V107" s="96" t="str">
        <f t="shared" si="32"/>
        <v>-</v>
      </c>
      <c r="W107" s="96" t="str">
        <f t="shared" si="38"/>
        <v>-</v>
      </c>
      <c r="X107" s="96" t="str">
        <f t="shared" si="39"/>
        <v>-</v>
      </c>
      <c r="Y107" s="107" t="str">
        <f t="shared" si="33"/>
        <v/>
      </c>
      <c r="Z107" s="71"/>
    </row>
    <row r="108" spans="1:26" x14ac:dyDescent="0.2">
      <c r="A108" s="108">
        <v>81</v>
      </c>
      <c r="B108" s="132">
        <f t="shared" si="22"/>
        <v>0</v>
      </c>
      <c r="C108" s="104">
        <f t="shared" si="40"/>
        <v>0</v>
      </c>
      <c r="D108" s="132">
        <f t="shared" si="25"/>
        <v>0</v>
      </c>
      <c r="E108" s="132">
        <f t="shared" si="26"/>
        <v>0</v>
      </c>
      <c r="F108" s="132">
        <f t="shared" si="27"/>
        <v>0</v>
      </c>
      <c r="G108" s="114">
        <f>IF(SUM(K$27:K107)&gt;0,0,IF(Y108&lt;&gt;"-",$B$3,0))</f>
        <v>0</v>
      </c>
      <c r="H108" s="114">
        <f t="shared" si="28"/>
        <v>0</v>
      </c>
      <c r="I108" s="105">
        <f t="shared" si="34"/>
        <v>0</v>
      </c>
      <c r="J108" s="105">
        <f t="shared" si="29"/>
        <v>0</v>
      </c>
      <c r="K108" s="132">
        <f t="shared" si="23"/>
        <v>0</v>
      </c>
      <c r="L108" s="133">
        <f t="shared" si="24"/>
        <v>0</v>
      </c>
      <c r="M108" s="132">
        <f>IF(SUM(K$28:K108)&gt;0,MIN(O107*(1+B$9)^(1/12),G$25-G108+K108),0)</f>
        <v>0</v>
      </c>
      <c r="N108" s="132">
        <f t="shared" si="30"/>
        <v>0</v>
      </c>
      <c r="O108" s="133">
        <f t="shared" si="31"/>
        <v>0</v>
      </c>
      <c r="P108" s="103">
        <f>SUM(N$27:N108)</f>
        <v>0</v>
      </c>
      <c r="Q108" s="103">
        <f t="shared" si="41"/>
        <v>0</v>
      </c>
      <c r="R108" s="103">
        <f t="shared" si="35"/>
        <v>0</v>
      </c>
      <c r="S108" s="103">
        <f t="shared" si="36"/>
        <v>0</v>
      </c>
      <c r="T108" s="103">
        <f t="shared" si="37"/>
        <v>0</v>
      </c>
      <c r="U108" s="96" t="s">
        <v>67</v>
      </c>
      <c r="V108" s="96" t="str">
        <f t="shared" si="32"/>
        <v>q</v>
      </c>
      <c r="W108" s="96" t="str">
        <f t="shared" si="38"/>
        <v>-</v>
      </c>
      <c r="X108" s="96" t="str">
        <f t="shared" si="39"/>
        <v>-</v>
      </c>
      <c r="Y108" s="107" t="str">
        <f t="shared" si="33"/>
        <v/>
      </c>
      <c r="Z108" s="71"/>
    </row>
    <row r="109" spans="1:26" x14ac:dyDescent="0.2">
      <c r="A109" s="108">
        <v>82</v>
      </c>
      <c r="B109" s="132">
        <f t="shared" si="22"/>
        <v>0</v>
      </c>
      <c r="C109" s="104">
        <f t="shared" si="40"/>
        <v>0</v>
      </c>
      <c r="D109" s="132">
        <f t="shared" si="25"/>
        <v>0</v>
      </c>
      <c r="E109" s="132">
        <f t="shared" si="26"/>
        <v>0</v>
      </c>
      <c r="F109" s="132">
        <f t="shared" si="27"/>
        <v>0</v>
      </c>
      <c r="G109" s="114">
        <f>IF(SUM(K$27:K108)&gt;0,0,IF(Y109&lt;&gt;"-",$B$3,0))</f>
        <v>0</v>
      </c>
      <c r="H109" s="114">
        <f t="shared" si="28"/>
        <v>0</v>
      </c>
      <c r="I109" s="105">
        <f t="shared" si="34"/>
        <v>0</v>
      </c>
      <c r="J109" s="105">
        <f t="shared" si="29"/>
        <v>0</v>
      </c>
      <c r="K109" s="132">
        <f t="shared" si="23"/>
        <v>0</v>
      </c>
      <c r="L109" s="133">
        <f t="shared" si="24"/>
        <v>0</v>
      </c>
      <c r="M109" s="132">
        <f>IF(SUM(K$28:K109)&gt;0,MIN(O108*(1+B$9)^(1/12),G$25-G109+K109),0)</f>
        <v>0</v>
      </c>
      <c r="N109" s="132">
        <f t="shared" si="30"/>
        <v>0</v>
      </c>
      <c r="O109" s="133">
        <f t="shared" si="31"/>
        <v>0</v>
      </c>
      <c r="P109" s="103">
        <f>SUM(N$27:N109)</f>
        <v>0</v>
      </c>
      <c r="Q109" s="103">
        <f t="shared" si="41"/>
        <v>0</v>
      </c>
      <c r="R109" s="103">
        <f t="shared" si="35"/>
        <v>0</v>
      </c>
      <c r="S109" s="103">
        <f t="shared" si="36"/>
        <v>0</v>
      </c>
      <c r="T109" s="103">
        <f t="shared" si="37"/>
        <v>0</v>
      </c>
      <c r="U109" s="96" t="s">
        <v>67</v>
      </c>
      <c r="V109" s="96" t="str">
        <f t="shared" si="32"/>
        <v>-</v>
      </c>
      <c r="W109" s="96" t="str">
        <f t="shared" si="38"/>
        <v>-</v>
      </c>
      <c r="X109" s="96" t="str">
        <f t="shared" si="39"/>
        <v>-</v>
      </c>
      <c r="Y109" s="107" t="str">
        <f t="shared" si="33"/>
        <v/>
      </c>
      <c r="Z109" s="71"/>
    </row>
    <row r="110" spans="1:26" x14ac:dyDescent="0.2">
      <c r="A110" s="108">
        <v>83</v>
      </c>
      <c r="B110" s="132">
        <f t="shared" si="22"/>
        <v>0</v>
      </c>
      <c r="C110" s="104">
        <f t="shared" si="40"/>
        <v>0</v>
      </c>
      <c r="D110" s="132">
        <f t="shared" si="25"/>
        <v>0</v>
      </c>
      <c r="E110" s="132">
        <f t="shared" si="26"/>
        <v>0</v>
      </c>
      <c r="F110" s="132">
        <f t="shared" si="27"/>
        <v>0</v>
      </c>
      <c r="G110" s="114">
        <f>IF(SUM(K$27:K109)&gt;0,0,IF(Y110&lt;&gt;"-",$B$3,0))</f>
        <v>0</v>
      </c>
      <c r="H110" s="114">
        <f t="shared" si="28"/>
        <v>0</v>
      </c>
      <c r="I110" s="105">
        <f t="shared" si="34"/>
        <v>0</v>
      </c>
      <c r="J110" s="105">
        <f t="shared" si="29"/>
        <v>0</v>
      </c>
      <c r="K110" s="132">
        <f t="shared" si="23"/>
        <v>0</v>
      </c>
      <c r="L110" s="133">
        <f t="shared" si="24"/>
        <v>0</v>
      </c>
      <c r="M110" s="132">
        <f>IF(SUM(K$28:K110)&gt;0,MIN(O109*(1+B$9)^(1/12),G$25-G110+K110),0)</f>
        <v>0</v>
      </c>
      <c r="N110" s="132">
        <f t="shared" si="30"/>
        <v>0</v>
      </c>
      <c r="O110" s="133">
        <f t="shared" si="31"/>
        <v>0</v>
      </c>
      <c r="P110" s="103">
        <f>SUM(N$27:N110)</f>
        <v>0</v>
      </c>
      <c r="Q110" s="103">
        <f t="shared" si="41"/>
        <v>0</v>
      </c>
      <c r="R110" s="103">
        <f t="shared" si="35"/>
        <v>0</v>
      </c>
      <c r="S110" s="103">
        <f t="shared" si="36"/>
        <v>0</v>
      </c>
      <c r="T110" s="103">
        <f t="shared" si="37"/>
        <v>0</v>
      </c>
      <c r="U110" s="96" t="s">
        <v>67</v>
      </c>
      <c r="V110" s="96" t="str">
        <f t="shared" si="32"/>
        <v>-</v>
      </c>
      <c r="W110" s="96" t="str">
        <f t="shared" si="38"/>
        <v>-</v>
      </c>
      <c r="X110" s="96" t="str">
        <f t="shared" si="39"/>
        <v>-</v>
      </c>
      <c r="Y110" s="107" t="str">
        <f t="shared" si="33"/>
        <v/>
      </c>
      <c r="Z110" s="71"/>
    </row>
    <row r="111" spans="1:26" x14ac:dyDescent="0.2">
      <c r="A111" s="110">
        <v>84</v>
      </c>
      <c r="B111" s="111">
        <f t="shared" si="22"/>
        <v>0</v>
      </c>
      <c r="C111" s="111">
        <f t="shared" si="40"/>
        <v>0</v>
      </c>
      <c r="D111" s="111">
        <f t="shared" si="25"/>
        <v>0</v>
      </c>
      <c r="E111" s="111">
        <f t="shared" si="26"/>
        <v>0</v>
      </c>
      <c r="F111" s="111">
        <f t="shared" si="27"/>
        <v>0</v>
      </c>
      <c r="G111" s="112">
        <f>IF(SUM(K$27:K110)&gt;0,0,IF(Y111&lt;&gt;"-",$B$3,0))</f>
        <v>0</v>
      </c>
      <c r="H111" s="112">
        <f t="shared" si="28"/>
        <v>0</v>
      </c>
      <c r="I111" s="112">
        <f t="shared" si="34"/>
        <v>0</v>
      </c>
      <c r="J111" s="112">
        <f t="shared" si="29"/>
        <v>0</v>
      </c>
      <c r="K111" s="111">
        <f t="shared" si="23"/>
        <v>0</v>
      </c>
      <c r="L111" s="113">
        <f t="shared" si="24"/>
        <v>0</v>
      </c>
      <c r="M111" s="111">
        <f>IF(SUM(K$28:K111)&gt;0,MIN(O110*(1+B$9)^(1/12),G$25-G111+K111),0)</f>
        <v>0</v>
      </c>
      <c r="N111" s="111">
        <f t="shared" si="30"/>
        <v>0</v>
      </c>
      <c r="O111" s="113">
        <f t="shared" si="31"/>
        <v>0</v>
      </c>
      <c r="P111" s="111">
        <f>SUM(N$27:N111)</f>
        <v>0</v>
      </c>
      <c r="Q111" s="111">
        <f t="shared" si="41"/>
        <v>0</v>
      </c>
      <c r="R111" s="111">
        <f t="shared" si="35"/>
        <v>0</v>
      </c>
      <c r="S111" s="111">
        <f t="shared" si="36"/>
        <v>0</v>
      </c>
      <c r="T111" s="111">
        <f t="shared" si="37"/>
        <v>0</v>
      </c>
      <c r="U111" s="101" t="s">
        <v>67</v>
      </c>
      <c r="V111" s="101" t="str">
        <f t="shared" si="32"/>
        <v>q</v>
      </c>
      <c r="W111" s="101" t="str">
        <f t="shared" si="38"/>
        <v>s</v>
      </c>
      <c r="X111" s="101" t="str">
        <f t="shared" si="39"/>
        <v>a</v>
      </c>
      <c r="Y111" s="107" t="str">
        <f t="shared" si="33"/>
        <v/>
      </c>
      <c r="Z111" s="71"/>
    </row>
    <row r="112" spans="1:26" x14ac:dyDescent="0.2">
      <c r="A112" s="108">
        <v>85</v>
      </c>
      <c r="B112" s="132">
        <f t="shared" si="22"/>
        <v>0</v>
      </c>
      <c r="C112" s="104">
        <f t="shared" si="40"/>
        <v>0</v>
      </c>
      <c r="D112" s="132">
        <f t="shared" si="25"/>
        <v>0</v>
      </c>
      <c r="E112" s="132">
        <f t="shared" si="26"/>
        <v>0</v>
      </c>
      <c r="F112" s="132">
        <f t="shared" si="27"/>
        <v>0</v>
      </c>
      <c r="G112" s="114">
        <f>IF(SUM(K$27:K111)&gt;0,0,IF(Y112&lt;&gt;"-",$B$3,0))</f>
        <v>0</v>
      </c>
      <c r="H112" s="114">
        <f t="shared" si="28"/>
        <v>0</v>
      </c>
      <c r="I112" s="105">
        <f t="shared" si="34"/>
        <v>0</v>
      </c>
      <c r="J112" s="105">
        <f t="shared" si="29"/>
        <v>0</v>
      </c>
      <c r="K112" s="132">
        <f t="shared" si="23"/>
        <v>0</v>
      </c>
      <c r="L112" s="133">
        <f t="shared" si="24"/>
        <v>0</v>
      </c>
      <c r="M112" s="132">
        <f>IF(SUM(K$28:K112)&gt;0,MIN(O111*(1+B$9)^(1/12),G$25-G112+K112),0)</f>
        <v>0</v>
      </c>
      <c r="N112" s="132">
        <f t="shared" si="30"/>
        <v>0</v>
      </c>
      <c r="O112" s="133">
        <f t="shared" si="31"/>
        <v>0</v>
      </c>
      <c r="P112" s="103">
        <f>SUM(N$27:N112)</f>
        <v>0</v>
      </c>
      <c r="Q112" s="103">
        <f t="shared" si="41"/>
        <v>0</v>
      </c>
      <c r="R112" s="103">
        <f t="shared" si="35"/>
        <v>0</v>
      </c>
      <c r="S112" s="103">
        <f t="shared" si="36"/>
        <v>0</v>
      </c>
      <c r="T112" s="103">
        <f t="shared" si="37"/>
        <v>0</v>
      </c>
      <c r="U112" s="96" t="s">
        <v>67</v>
      </c>
      <c r="V112" s="96" t="str">
        <f t="shared" si="32"/>
        <v>-</v>
      </c>
      <c r="W112" s="96" t="str">
        <f t="shared" si="38"/>
        <v>-</v>
      </c>
      <c r="X112" s="96" t="str">
        <f t="shared" si="39"/>
        <v>-</v>
      </c>
      <c r="Y112" s="107" t="str">
        <f t="shared" si="33"/>
        <v/>
      </c>
      <c r="Z112" s="71"/>
    </row>
    <row r="113" spans="1:26" x14ac:dyDescent="0.2">
      <c r="A113" s="108">
        <v>86</v>
      </c>
      <c r="B113" s="132">
        <f t="shared" si="22"/>
        <v>0</v>
      </c>
      <c r="C113" s="104">
        <f t="shared" si="40"/>
        <v>0</v>
      </c>
      <c r="D113" s="132">
        <f t="shared" si="25"/>
        <v>0</v>
      </c>
      <c r="E113" s="132">
        <f t="shared" si="26"/>
        <v>0</v>
      </c>
      <c r="F113" s="132">
        <f t="shared" si="27"/>
        <v>0</v>
      </c>
      <c r="G113" s="114">
        <f>IF(SUM(K$27:K112)&gt;0,0,IF(Y113&lt;&gt;"-",$B$3,0))</f>
        <v>0</v>
      </c>
      <c r="H113" s="114">
        <f t="shared" si="28"/>
        <v>0</v>
      </c>
      <c r="I113" s="105">
        <f t="shared" si="34"/>
        <v>0</v>
      </c>
      <c r="J113" s="105">
        <f t="shared" si="29"/>
        <v>0</v>
      </c>
      <c r="K113" s="132">
        <f t="shared" si="23"/>
        <v>0</v>
      </c>
      <c r="L113" s="133">
        <f t="shared" si="24"/>
        <v>0</v>
      </c>
      <c r="M113" s="132">
        <f>IF(SUM(K$28:K113)&gt;0,MIN(O112*(1+B$9)^(1/12),G$25-G113+K113),0)</f>
        <v>0</v>
      </c>
      <c r="N113" s="132">
        <f t="shared" si="30"/>
        <v>0</v>
      </c>
      <c r="O113" s="133">
        <f t="shared" si="31"/>
        <v>0</v>
      </c>
      <c r="P113" s="103">
        <f>SUM(N$27:N113)</f>
        <v>0</v>
      </c>
      <c r="Q113" s="103">
        <f t="shared" si="41"/>
        <v>0</v>
      </c>
      <c r="R113" s="103">
        <f t="shared" si="35"/>
        <v>0</v>
      </c>
      <c r="S113" s="103">
        <f t="shared" si="36"/>
        <v>0</v>
      </c>
      <c r="T113" s="103">
        <f t="shared" si="37"/>
        <v>0</v>
      </c>
      <c r="U113" s="96" t="s">
        <v>67</v>
      </c>
      <c r="V113" s="96" t="str">
        <f t="shared" si="32"/>
        <v>-</v>
      </c>
      <c r="W113" s="96" t="str">
        <f t="shared" si="38"/>
        <v>-</v>
      </c>
      <c r="X113" s="96" t="str">
        <f t="shared" si="39"/>
        <v>-</v>
      </c>
      <c r="Y113" s="107" t="str">
        <f t="shared" si="33"/>
        <v/>
      </c>
      <c r="Z113" s="71"/>
    </row>
    <row r="114" spans="1:26" x14ac:dyDescent="0.2">
      <c r="A114" s="108">
        <v>87</v>
      </c>
      <c r="B114" s="132">
        <f t="shared" si="22"/>
        <v>0</v>
      </c>
      <c r="C114" s="104">
        <f t="shared" si="40"/>
        <v>0</v>
      </c>
      <c r="D114" s="132">
        <f t="shared" si="25"/>
        <v>0</v>
      </c>
      <c r="E114" s="132">
        <f t="shared" si="26"/>
        <v>0</v>
      </c>
      <c r="F114" s="132">
        <f t="shared" si="27"/>
        <v>0</v>
      </c>
      <c r="G114" s="114">
        <f>IF(SUM(K$27:K113)&gt;0,0,IF(Y114&lt;&gt;"-",$B$3,0))</f>
        <v>0</v>
      </c>
      <c r="H114" s="114">
        <f t="shared" si="28"/>
        <v>0</v>
      </c>
      <c r="I114" s="105">
        <f t="shared" si="34"/>
        <v>0</v>
      </c>
      <c r="J114" s="105">
        <f t="shared" si="29"/>
        <v>0</v>
      </c>
      <c r="K114" s="132">
        <f t="shared" si="23"/>
        <v>0</v>
      </c>
      <c r="L114" s="133">
        <f t="shared" si="24"/>
        <v>0</v>
      </c>
      <c r="M114" s="132">
        <f>IF(SUM(K$28:K114)&gt;0,MIN(O113*(1+B$9)^(1/12),G$25-G114+K114),0)</f>
        <v>0</v>
      </c>
      <c r="N114" s="132">
        <f t="shared" si="30"/>
        <v>0</v>
      </c>
      <c r="O114" s="133">
        <f t="shared" si="31"/>
        <v>0</v>
      </c>
      <c r="P114" s="103">
        <f>SUM(N$27:N114)</f>
        <v>0</v>
      </c>
      <c r="Q114" s="103">
        <f t="shared" si="41"/>
        <v>0</v>
      </c>
      <c r="R114" s="103">
        <f t="shared" si="35"/>
        <v>0</v>
      </c>
      <c r="S114" s="103">
        <f t="shared" si="36"/>
        <v>0</v>
      </c>
      <c r="T114" s="103">
        <f t="shared" si="37"/>
        <v>0</v>
      </c>
      <c r="U114" s="96" t="s">
        <v>67</v>
      </c>
      <c r="V114" s="96" t="str">
        <f t="shared" si="32"/>
        <v>q</v>
      </c>
      <c r="W114" s="96" t="str">
        <f t="shared" si="38"/>
        <v>-</v>
      </c>
      <c r="X114" s="96" t="str">
        <f t="shared" si="39"/>
        <v>-</v>
      </c>
      <c r="Y114" s="107" t="str">
        <f t="shared" si="33"/>
        <v/>
      </c>
      <c r="Z114" s="71"/>
    </row>
    <row r="115" spans="1:26" x14ac:dyDescent="0.2">
      <c r="A115" s="108">
        <v>88</v>
      </c>
      <c r="B115" s="132">
        <f t="shared" si="22"/>
        <v>0</v>
      </c>
      <c r="C115" s="104">
        <f t="shared" si="40"/>
        <v>0</v>
      </c>
      <c r="D115" s="132">
        <f t="shared" si="25"/>
        <v>0</v>
      </c>
      <c r="E115" s="132">
        <f t="shared" si="26"/>
        <v>0</v>
      </c>
      <c r="F115" s="132">
        <f t="shared" si="27"/>
        <v>0</v>
      </c>
      <c r="G115" s="114">
        <f>IF(SUM(K$27:K114)&gt;0,0,IF(Y115&lt;&gt;"-",$B$3,0))</f>
        <v>0</v>
      </c>
      <c r="H115" s="114">
        <f t="shared" si="28"/>
        <v>0</v>
      </c>
      <c r="I115" s="105">
        <f t="shared" si="34"/>
        <v>0</v>
      </c>
      <c r="J115" s="105">
        <f t="shared" si="29"/>
        <v>0</v>
      </c>
      <c r="K115" s="132">
        <f t="shared" si="23"/>
        <v>0</v>
      </c>
      <c r="L115" s="133">
        <f t="shared" si="24"/>
        <v>0</v>
      </c>
      <c r="M115" s="132">
        <f>IF(SUM(K$28:K115)&gt;0,MIN(O114*(1+B$9)^(1/12),G$25-G115+K115),0)</f>
        <v>0</v>
      </c>
      <c r="N115" s="132">
        <f t="shared" si="30"/>
        <v>0</v>
      </c>
      <c r="O115" s="133">
        <f t="shared" si="31"/>
        <v>0</v>
      </c>
      <c r="P115" s="103">
        <f>SUM(N$27:N115)</f>
        <v>0</v>
      </c>
      <c r="Q115" s="103">
        <f t="shared" si="41"/>
        <v>0</v>
      </c>
      <c r="R115" s="103">
        <f t="shared" si="35"/>
        <v>0</v>
      </c>
      <c r="S115" s="103">
        <f t="shared" si="36"/>
        <v>0</v>
      </c>
      <c r="T115" s="103">
        <f t="shared" si="37"/>
        <v>0</v>
      </c>
      <c r="U115" s="96" t="s">
        <v>67</v>
      </c>
      <c r="V115" s="96" t="str">
        <f t="shared" si="32"/>
        <v>-</v>
      </c>
      <c r="W115" s="96" t="str">
        <f t="shared" si="38"/>
        <v>-</v>
      </c>
      <c r="X115" s="96" t="str">
        <f t="shared" si="39"/>
        <v>-</v>
      </c>
      <c r="Y115" s="107" t="str">
        <f t="shared" si="33"/>
        <v/>
      </c>
      <c r="Z115" s="71"/>
    </row>
    <row r="116" spans="1:26" x14ac:dyDescent="0.2">
      <c r="A116" s="108">
        <v>89</v>
      </c>
      <c r="B116" s="132">
        <f t="shared" si="22"/>
        <v>0</v>
      </c>
      <c r="C116" s="104">
        <f t="shared" si="40"/>
        <v>0</v>
      </c>
      <c r="D116" s="132">
        <f t="shared" si="25"/>
        <v>0</v>
      </c>
      <c r="E116" s="132">
        <f t="shared" si="26"/>
        <v>0</v>
      </c>
      <c r="F116" s="132">
        <f t="shared" si="27"/>
        <v>0</v>
      </c>
      <c r="G116" s="114">
        <f>IF(SUM(K$27:K115)&gt;0,0,IF(Y116&lt;&gt;"-",$B$3,0))</f>
        <v>0</v>
      </c>
      <c r="H116" s="114">
        <f t="shared" si="28"/>
        <v>0</v>
      </c>
      <c r="I116" s="105">
        <f t="shared" si="34"/>
        <v>0</v>
      </c>
      <c r="J116" s="105">
        <f t="shared" si="29"/>
        <v>0</v>
      </c>
      <c r="K116" s="132">
        <f t="shared" si="23"/>
        <v>0</v>
      </c>
      <c r="L116" s="133">
        <f t="shared" si="24"/>
        <v>0</v>
      </c>
      <c r="M116" s="132">
        <f>IF(SUM(K$28:K116)&gt;0,MIN(O115*(1+B$9)^(1/12),G$25-G116+K116),0)</f>
        <v>0</v>
      </c>
      <c r="N116" s="132">
        <f t="shared" si="30"/>
        <v>0</v>
      </c>
      <c r="O116" s="133">
        <f t="shared" si="31"/>
        <v>0</v>
      </c>
      <c r="P116" s="103">
        <f>SUM(N$27:N116)</f>
        <v>0</v>
      </c>
      <c r="Q116" s="103">
        <f t="shared" si="41"/>
        <v>0</v>
      </c>
      <c r="R116" s="103">
        <f t="shared" si="35"/>
        <v>0</v>
      </c>
      <c r="S116" s="103">
        <f t="shared" si="36"/>
        <v>0</v>
      </c>
      <c r="T116" s="103">
        <f t="shared" si="37"/>
        <v>0</v>
      </c>
      <c r="U116" s="96" t="s">
        <v>67</v>
      </c>
      <c r="V116" s="96" t="str">
        <f t="shared" si="32"/>
        <v>-</v>
      </c>
      <c r="W116" s="96" t="str">
        <f t="shared" si="38"/>
        <v>-</v>
      </c>
      <c r="X116" s="96" t="str">
        <f t="shared" si="39"/>
        <v>-</v>
      </c>
      <c r="Y116" s="107" t="str">
        <f t="shared" si="33"/>
        <v/>
      </c>
      <c r="Z116" s="71"/>
    </row>
    <row r="117" spans="1:26" x14ac:dyDescent="0.2">
      <c r="A117" s="108">
        <v>90</v>
      </c>
      <c r="B117" s="132">
        <f t="shared" si="22"/>
        <v>0</v>
      </c>
      <c r="C117" s="104">
        <f t="shared" si="40"/>
        <v>0</v>
      </c>
      <c r="D117" s="132">
        <f t="shared" si="25"/>
        <v>0</v>
      </c>
      <c r="E117" s="132">
        <f t="shared" si="26"/>
        <v>0</v>
      </c>
      <c r="F117" s="132">
        <f t="shared" si="27"/>
        <v>0</v>
      </c>
      <c r="G117" s="114">
        <f>IF(SUM(K$27:K116)&gt;0,0,IF(Y117&lt;&gt;"-",$B$3,0))</f>
        <v>0</v>
      </c>
      <c r="H117" s="114">
        <f t="shared" si="28"/>
        <v>0</v>
      </c>
      <c r="I117" s="105">
        <f t="shared" si="34"/>
        <v>0</v>
      </c>
      <c r="J117" s="105">
        <f t="shared" si="29"/>
        <v>0</v>
      </c>
      <c r="K117" s="132">
        <f t="shared" si="23"/>
        <v>0</v>
      </c>
      <c r="L117" s="133">
        <f t="shared" si="24"/>
        <v>0</v>
      </c>
      <c r="M117" s="132">
        <f>IF(SUM(K$28:K117)&gt;0,MIN(O116*(1+B$9)^(1/12),G$25-G117+K117),0)</f>
        <v>0</v>
      </c>
      <c r="N117" s="132">
        <f t="shared" si="30"/>
        <v>0</v>
      </c>
      <c r="O117" s="133">
        <f t="shared" si="31"/>
        <v>0</v>
      </c>
      <c r="P117" s="103">
        <f>SUM(N$27:N117)</f>
        <v>0</v>
      </c>
      <c r="Q117" s="103">
        <f t="shared" si="41"/>
        <v>0</v>
      </c>
      <c r="R117" s="103">
        <f t="shared" si="35"/>
        <v>0</v>
      </c>
      <c r="S117" s="103">
        <f t="shared" si="36"/>
        <v>0</v>
      </c>
      <c r="T117" s="103">
        <f t="shared" si="37"/>
        <v>0</v>
      </c>
      <c r="U117" s="96" t="s">
        <v>67</v>
      </c>
      <c r="V117" s="96" t="str">
        <f t="shared" si="32"/>
        <v>q</v>
      </c>
      <c r="W117" s="96" t="str">
        <f t="shared" si="38"/>
        <v>s</v>
      </c>
      <c r="X117" s="96" t="str">
        <f t="shared" si="39"/>
        <v>-</v>
      </c>
      <c r="Y117" s="107" t="str">
        <f t="shared" si="33"/>
        <v/>
      </c>
      <c r="Z117" s="71"/>
    </row>
    <row r="118" spans="1:26" x14ac:dyDescent="0.2">
      <c r="A118" s="108">
        <v>91</v>
      </c>
      <c r="B118" s="132">
        <f t="shared" si="22"/>
        <v>0</v>
      </c>
      <c r="C118" s="104">
        <f t="shared" si="40"/>
        <v>0</v>
      </c>
      <c r="D118" s="132">
        <f t="shared" si="25"/>
        <v>0</v>
      </c>
      <c r="E118" s="132">
        <f t="shared" si="26"/>
        <v>0</v>
      </c>
      <c r="F118" s="132">
        <f t="shared" si="27"/>
        <v>0</v>
      </c>
      <c r="G118" s="114">
        <f>IF(SUM(K$27:K117)&gt;0,0,IF(Y118&lt;&gt;"-",$B$3,0))</f>
        <v>0</v>
      </c>
      <c r="H118" s="114">
        <f t="shared" si="28"/>
        <v>0</v>
      </c>
      <c r="I118" s="105">
        <f t="shared" si="34"/>
        <v>0</v>
      </c>
      <c r="J118" s="105">
        <f t="shared" si="29"/>
        <v>0</v>
      </c>
      <c r="K118" s="132">
        <f t="shared" si="23"/>
        <v>0</v>
      </c>
      <c r="L118" s="133">
        <f t="shared" si="24"/>
        <v>0</v>
      </c>
      <c r="M118" s="132">
        <f>IF(SUM(K$28:K118)&gt;0,MIN(O117*(1+B$9)^(1/12),G$25-G118+K118),0)</f>
        <v>0</v>
      </c>
      <c r="N118" s="132">
        <f t="shared" si="30"/>
        <v>0</v>
      </c>
      <c r="O118" s="133">
        <f t="shared" si="31"/>
        <v>0</v>
      </c>
      <c r="P118" s="103">
        <f>SUM(N$27:N118)</f>
        <v>0</v>
      </c>
      <c r="Q118" s="103">
        <f t="shared" si="41"/>
        <v>0</v>
      </c>
      <c r="R118" s="103">
        <f t="shared" si="35"/>
        <v>0</v>
      </c>
      <c r="S118" s="103">
        <f t="shared" si="36"/>
        <v>0</v>
      </c>
      <c r="T118" s="103">
        <f t="shared" si="37"/>
        <v>0</v>
      </c>
      <c r="U118" s="96" t="s">
        <v>67</v>
      </c>
      <c r="V118" s="96" t="str">
        <f t="shared" si="32"/>
        <v>-</v>
      </c>
      <c r="W118" s="96" t="str">
        <f t="shared" si="38"/>
        <v>-</v>
      </c>
      <c r="X118" s="96" t="str">
        <f t="shared" si="39"/>
        <v>-</v>
      </c>
      <c r="Y118" s="107" t="str">
        <f t="shared" si="33"/>
        <v/>
      </c>
      <c r="Z118" s="71"/>
    </row>
    <row r="119" spans="1:26" x14ac:dyDescent="0.2">
      <c r="A119" s="108">
        <v>92</v>
      </c>
      <c r="B119" s="132">
        <f t="shared" si="22"/>
        <v>0</v>
      </c>
      <c r="C119" s="104">
        <f t="shared" si="40"/>
        <v>0</v>
      </c>
      <c r="D119" s="132">
        <f t="shared" si="25"/>
        <v>0</v>
      </c>
      <c r="E119" s="132">
        <f t="shared" si="26"/>
        <v>0</v>
      </c>
      <c r="F119" s="132">
        <f t="shared" si="27"/>
        <v>0</v>
      </c>
      <c r="G119" s="114">
        <f>IF(SUM(K$27:K118)&gt;0,0,IF(Y119&lt;&gt;"-",$B$3,0))</f>
        <v>0</v>
      </c>
      <c r="H119" s="114">
        <f t="shared" si="28"/>
        <v>0</v>
      </c>
      <c r="I119" s="105">
        <f t="shared" si="34"/>
        <v>0</v>
      </c>
      <c r="J119" s="105">
        <f t="shared" si="29"/>
        <v>0</v>
      </c>
      <c r="K119" s="132">
        <f t="shared" si="23"/>
        <v>0</v>
      </c>
      <c r="L119" s="133">
        <f t="shared" si="24"/>
        <v>0</v>
      </c>
      <c r="M119" s="132">
        <f>IF(SUM(K$28:K119)&gt;0,MIN(O118*(1+B$9)^(1/12),G$25-G119+K119),0)</f>
        <v>0</v>
      </c>
      <c r="N119" s="132">
        <f t="shared" si="30"/>
        <v>0</v>
      </c>
      <c r="O119" s="133">
        <f t="shared" si="31"/>
        <v>0</v>
      </c>
      <c r="P119" s="103">
        <f>SUM(N$27:N119)</f>
        <v>0</v>
      </c>
      <c r="Q119" s="103">
        <f t="shared" si="41"/>
        <v>0</v>
      </c>
      <c r="R119" s="103">
        <f t="shared" si="35"/>
        <v>0</v>
      </c>
      <c r="S119" s="103">
        <f t="shared" si="36"/>
        <v>0</v>
      </c>
      <c r="T119" s="103">
        <f t="shared" si="37"/>
        <v>0</v>
      </c>
      <c r="U119" s="96" t="s">
        <v>67</v>
      </c>
      <c r="V119" s="96" t="str">
        <f t="shared" si="32"/>
        <v>-</v>
      </c>
      <c r="W119" s="96" t="str">
        <f t="shared" si="38"/>
        <v>-</v>
      </c>
      <c r="X119" s="96" t="str">
        <f t="shared" si="39"/>
        <v>-</v>
      </c>
      <c r="Y119" s="107" t="str">
        <f t="shared" si="33"/>
        <v/>
      </c>
      <c r="Z119" s="71"/>
    </row>
    <row r="120" spans="1:26" x14ac:dyDescent="0.2">
      <c r="A120" s="108">
        <v>93</v>
      </c>
      <c r="B120" s="132">
        <f t="shared" si="22"/>
        <v>0</v>
      </c>
      <c r="C120" s="104">
        <f t="shared" si="40"/>
        <v>0</v>
      </c>
      <c r="D120" s="132">
        <f t="shared" si="25"/>
        <v>0</v>
      </c>
      <c r="E120" s="132">
        <f t="shared" si="26"/>
        <v>0</v>
      </c>
      <c r="F120" s="132">
        <f t="shared" si="27"/>
        <v>0</v>
      </c>
      <c r="G120" s="114">
        <f>IF(SUM(K$27:K119)&gt;0,0,IF(Y120&lt;&gt;"-",$B$3,0))</f>
        <v>0</v>
      </c>
      <c r="H120" s="114">
        <f t="shared" si="28"/>
        <v>0</v>
      </c>
      <c r="I120" s="105">
        <f t="shared" si="34"/>
        <v>0</v>
      </c>
      <c r="J120" s="105">
        <f t="shared" si="29"/>
        <v>0</v>
      </c>
      <c r="K120" s="132">
        <f t="shared" si="23"/>
        <v>0</v>
      </c>
      <c r="L120" s="133">
        <f t="shared" si="24"/>
        <v>0</v>
      </c>
      <c r="M120" s="132">
        <f>IF(SUM(K$28:K120)&gt;0,MIN(O119*(1+B$9)^(1/12),G$25-G120+K120),0)</f>
        <v>0</v>
      </c>
      <c r="N120" s="132">
        <f t="shared" si="30"/>
        <v>0</v>
      </c>
      <c r="O120" s="133">
        <f t="shared" si="31"/>
        <v>0</v>
      </c>
      <c r="P120" s="103">
        <f>SUM(N$27:N120)</f>
        <v>0</v>
      </c>
      <c r="Q120" s="103">
        <f t="shared" si="41"/>
        <v>0</v>
      </c>
      <c r="R120" s="103">
        <f t="shared" si="35"/>
        <v>0</v>
      </c>
      <c r="S120" s="103">
        <f t="shared" si="36"/>
        <v>0</v>
      </c>
      <c r="T120" s="103">
        <f t="shared" si="37"/>
        <v>0</v>
      </c>
      <c r="U120" s="96" t="s">
        <v>67</v>
      </c>
      <c r="V120" s="96" t="str">
        <f t="shared" si="32"/>
        <v>q</v>
      </c>
      <c r="W120" s="96" t="str">
        <f t="shared" si="38"/>
        <v>-</v>
      </c>
      <c r="X120" s="96" t="str">
        <f t="shared" si="39"/>
        <v>-</v>
      </c>
      <c r="Y120" s="107" t="str">
        <f t="shared" si="33"/>
        <v/>
      </c>
      <c r="Z120" s="71"/>
    </row>
    <row r="121" spans="1:26" x14ac:dyDescent="0.2">
      <c r="A121" s="108">
        <v>94</v>
      </c>
      <c r="B121" s="132">
        <f t="shared" si="22"/>
        <v>0</v>
      </c>
      <c r="C121" s="104">
        <f t="shared" si="40"/>
        <v>0</v>
      </c>
      <c r="D121" s="132">
        <f t="shared" si="25"/>
        <v>0</v>
      </c>
      <c r="E121" s="132">
        <f t="shared" si="26"/>
        <v>0</v>
      </c>
      <c r="F121" s="132">
        <f t="shared" si="27"/>
        <v>0</v>
      </c>
      <c r="G121" s="114">
        <f>IF(SUM(K$27:K120)&gt;0,0,IF(Y121&lt;&gt;"-",$B$3,0))</f>
        <v>0</v>
      </c>
      <c r="H121" s="114">
        <f t="shared" si="28"/>
        <v>0</v>
      </c>
      <c r="I121" s="105">
        <f t="shared" si="34"/>
        <v>0</v>
      </c>
      <c r="J121" s="105">
        <f t="shared" si="29"/>
        <v>0</v>
      </c>
      <c r="K121" s="132">
        <f t="shared" si="23"/>
        <v>0</v>
      </c>
      <c r="L121" s="133">
        <f t="shared" si="24"/>
        <v>0</v>
      </c>
      <c r="M121" s="132">
        <f>IF(SUM(K$28:K121)&gt;0,MIN(O120*(1+B$9)^(1/12),G$25-G121+K121),0)</f>
        <v>0</v>
      </c>
      <c r="N121" s="132">
        <f t="shared" si="30"/>
        <v>0</v>
      </c>
      <c r="O121" s="133">
        <f t="shared" si="31"/>
        <v>0</v>
      </c>
      <c r="P121" s="103">
        <f>SUM(N$27:N121)</f>
        <v>0</v>
      </c>
      <c r="Q121" s="103">
        <f t="shared" si="41"/>
        <v>0</v>
      </c>
      <c r="R121" s="103">
        <f t="shared" si="35"/>
        <v>0</v>
      </c>
      <c r="S121" s="103">
        <f t="shared" si="36"/>
        <v>0</v>
      </c>
      <c r="T121" s="103">
        <f t="shared" si="37"/>
        <v>0</v>
      </c>
      <c r="U121" s="96" t="s">
        <v>67</v>
      </c>
      <c r="V121" s="96" t="str">
        <f t="shared" si="32"/>
        <v>-</v>
      </c>
      <c r="W121" s="96" t="str">
        <f t="shared" si="38"/>
        <v>-</v>
      </c>
      <c r="X121" s="96" t="str">
        <f t="shared" si="39"/>
        <v>-</v>
      </c>
      <c r="Y121" s="107" t="str">
        <f t="shared" si="33"/>
        <v/>
      </c>
      <c r="Z121" s="71"/>
    </row>
    <row r="122" spans="1:26" x14ac:dyDescent="0.2">
      <c r="A122" s="108">
        <v>95</v>
      </c>
      <c r="B122" s="132">
        <f t="shared" ref="B122:B145" si="42">G122+H122-D122-K122</f>
        <v>0</v>
      </c>
      <c r="C122" s="104">
        <f t="shared" si="40"/>
        <v>0</v>
      </c>
      <c r="D122" s="132">
        <f t="shared" si="25"/>
        <v>0</v>
      </c>
      <c r="E122" s="132">
        <f t="shared" si="26"/>
        <v>0</v>
      </c>
      <c r="F122" s="132">
        <f t="shared" si="27"/>
        <v>0</v>
      </c>
      <c r="G122" s="114">
        <f>IF(SUM(K$27:K121)&gt;0,0,IF(Y122&lt;&gt;"-",$B$3,0))</f>
        <v>0</v>
      </c>
      <c r="H122" s="114">
        <f t="shared" si="28"/>
        <v>0</v>
      </c>
      <c r="I122" s="105">
        <f t="shared" si="34"/>
        <v>0</v>
      </c>
      <c r="J122" s="105">
        <f t="shared" si="29"/>
        <v>0</v>
      </c>
      <c r="K122" s="132">
        <f t="shared" ref="K122:K147" si="43">MAX(SUM(G122:J122)-SUM(C122:F122),0)</f>
        <v>0</v>
      </c>
      <c r="L122" s="133">
        <f t="shared" ref="L122:L147" si="44">SUM(C122:F122)-SUM(G122:J122)+K122</f>
        <v>0</v>
      </c>
      <c r="M122" s="132">
        <f>IF(SUM(K$28:K122)&gt;0,MIN(O121*(1+B$9)^(1/12),G$25-G122+K122),0)</f>
        <v>0</v>
      </c>
      <c r="N122" s="132">
        <f t="shared" si="30"/>
        <v>0</v>
      </c>
      <c r="O122" s="133">
        <f t="shared" si="31"/>
        <v>0</v>
      </c>
      <c r="P122" s="103">
        <f>SUM(N$27:N122)</f>
        <v>0</v>
      </c>
      <c r="Q122" s="103">
        <f t="shared" si="41"/>
        <v>0</v>
      </c>
      <c r="R122" s="103">
        <f t="shared" si="35"/>
        <v>0</v>
      </c>
      <c r="S122" s="103">
        <f t="shared" si="36"/>
        <v>0</v>
      </c>
      <c r="T122" s="103">
        <f t="shared" si="37"/>
        <v>0</v>
      </c>
      <c r="U122" s="96" t="s">
        <v>67</v>
      </c>
      <c r="V122" s="96" t="str">
        <f t="shared" si="32"/>
        <v>-</v>
      </c>
      <c r="W122" s="96" t="str">
        <f t="shared" si="38"/>
        <v>-</v>
      </c>
      <c r="X122" s="96" t="str">
        <f t="shared" si="39"/>
        <v>-</v>
      </c>
      <c r="Y122" s="107" t="str">
        <f t="shared" si="33"/>
        <v/>
      </c>
      <c r="Z122" s="71"/>
    </row>
    <row r="123" spans="1:26" x14ac:dyDescent="0.2">
      <c r="A123" s="110">
        <v>96</v>
      </c>
      <c r="B123" s="111">
        <f t="shared" si="42"/>
        <v>0</v>
      </c>
      <c r="C123" s="111">
        <f t="shared" si="40"/>
        <v>0</v>
      </c>
      <c r="D123" s="111">
        <f t="shared" si="25"/>
        <v>0</v>
      </c>
      <c r="E123" s="111">
        <f t="shared" si="26"/>
        <v>0</v>
      </c>
      <c r="F123" s="111">
        <f t="shared" si="27"/>
        <v>0</v>
      </c>
      <c r="G123" s="112">
        <f>IF(SUM(K$27:K122)&gt;0,0,IF(Y123&lt;&gt;"-",$B$3,0))</f>
        <v>0</v>
      </c>
      <c r="H123" s="112">
        <f t="shared" si="28"/>
        <v>0</v>
      </c>
      <c r="I123" s="112">
        <f t="shared" si="34"/>
        <v>0</v>
      </c>
      <c r="J123" s="112">
        <f t="shared" si="29"/>
        <v>0</v>
      </c>
      <c r="K123" s="111">
        <f t="shared" si="43"/>
        <v>0</v>
      </c>
      <c r="L123" s="113">
        <f t="shared" si="44"/>
        <v>0</v>
      </c>
      <c r="M123" s="111">
        <f>IF(SUM(K$28:K123)&gt;0,MIN(O122*(1+B$9)^(1/12),G$25-G123+K123),0)</f>
        <v>0</v>
      </c>
      <c r="N123" s="111">
        <f t="shared" si="30"/>
        <v>0</v>
      </c>
      <c r="O123" s="113">
        <f t="shared" si="31"/>
        <v>0</v>
      </c>
      <c r="P123" s="111">
        <f>SUM(N$27:N123)</f>
        <v>0</v>
      </c>
      <c r="Q123" s="111">
        <f t="shared" si="41"/>
        <v>0</v>
      </c>
      <c r="R123" s="111">
        <f t="shared" si="35"/>
        <v>0</v>
      </c>
      <c r="S123" s="111">
        <f t="shared" si="36"/>
        <v>0</v>
      </c>
      <c r="T123" s="111">
        <f t="shared" si="37"/>
        <v>0</v>
      </c>
      <c r="U123" s="101" t="s">
        <v>67</v>
      </c>
      <c r="V123" s="101" t="str">
        <f t="shared" si="32"/>
        <v>q</v>
      </c>
      <c r="W123" s="101" t="str">
        <f t="shared" si="38"/>
        <v>s</v>
      </c>
      <c r="X123" s="101" t="str">
        <f t="shared" si="39"/>
        <v>a</v>
      </c>
      <c r="Y123" s="107" t="str">
        <f t="shared" si="33"/>
        <v/>
      </c>
      <c r="Z123" s="71"/>
    </row>
    <row r="124" spans="1:26" x14ac:dyDescent="0.2">
      <c r="A124" s="108">
        <v>97</v>
      </c>
      <c r="B124" s="132">
        <f t="shared" si="42"/>
        <v>0</v>
      </c>
      <c r="C124" s="104">
        <f t="shared" si="40"/>
        <v>0</v>
      </c>
      <c r="D124" s="132">
        <f t="shared" si="25"/>
        <v>0</v>
      </c>
      <c r="E124" s="132">
        <f t="shared" si="26"/>
        <v>0</v>
      </c>
      <c r="F124" s="132">
        <f t="shared" si="27"/>
        <v>0</v>
      </c>
      <c r="G124" s="114">
        <f>IF(SUM(K$27:K123)&gt;0,0,IF(Y124&lt;&gt;"-",$B$3,0))</f>
        <v>0</v>
      </c>
      <c r="H124" s="114">
        <f t="shared" si="28"/>
        <v>0</v>
      </c>
      <c r="I124" s="105">
        <f t="shared" si="34"/>
        <v>0</v>
      </c>
      <c r="J124" s="105">
        <f t="shared" si="29"/>
        <v>0</v>
      </c>
      <c r="K124" s="132">
        <f t="shared" si="43"/>
        <v>0</v>
      </c>
      <c r="L124" s="133">
        <f t="shared" si="44"/>
        <v>0</v>
      </c>
      <c r="M124" s="132">
        <f>IF(SUM(K$28:K124)&gt;0,MIN(O123*(1+B$9)^(1/12),G$25-G124+K124),0)</f>
        <v>0</v>
      </c>
      <c r="N124" s="132">
        <f t="shared" si="30"/>
        <v>0</v>
      </c>
      <c r="O124" s="133">
        <f t="shared" si="31"/>
        <v>0</v>
      </c>
      <c r="P124" s="103">
        <f>SUM(N$27:N124)</f>
        <v>0</v>
      </c>
      <c r="Q124" s="103">
        <f t="shared" si="41"/>
        <v>0</v>
      </c>
      <c r="R124" s="103">
        <f t="shared" si="35"/>
        <v>0</v>
      </c>
      <c r="S124" s="103">
        <f t="shared" si="36"/>
        <v>0</v>
      </c>
      <c r="T124" s="103">
        <f t="shared" si="37"/>
        <v>0</v>
      </c>
      <c r="U124" s="96" t="s">
        <v>67</v>
      </c>
      <c r="V124" s="96" t="str">
        <f t="shared" si="32"/>
        <v>-</v>
      </c>
      <c r="W124" s="96" t="str">
        <f t="shared" si="38"/>
        <v>-</v>
      </c>
      <c r="X124" s="96" t="str">
        <f t="shared" si="39"/>
        <v>-</v>
      </c>
      <c r="Y124" s="107" t="str">
        <f t="shared" si="33"/>
        <v/>
      </c>
      <c r="Z124" s="71"/>
    </row>
    <row r="125" spans="1:26" x14ac:dyDescent="0.2">
      <c r="A125" s="108">
        <v>98</v>
      </c>
      <c r="B125" s="132">
        <f t="shared" si="42"/>
        <v>0</v>
      </c>
      <c r="C125" s="104">
        <f t="shared" si="40"/>
        <v>0</v>
      </c>
      <c r="D125" s="132">
        <f t="shared" si="25"/>
        <v>0</v>
      </c>
      <c r="E125" s="132">
        <f t="shared" si="26"/>
        <v>0</v>
      </c>
      <c r="F125" s="132">
        <f t="shared" si="27"/>
        <v>0</v>
      </c>
      <c r="G125" s="114">
        <f>IF(SUM(K$27:K124)&gt;0,0,IF(Y125&lt;&gt;"-",$B$3,0))</f>
        <v>0</v>
      </c>
      <c r="H125" s="114">
        <f t="shared" si="28"/>
        <v>0</v>
      </c>
      <c r="I125" s="105">
        <f t="shared" si="34"/>
        <v>0</v>
      </c>
      <c r="J125" s="105">
        <f t="shared" si="29"/>
        <v>0</v>
      </c>
      <c r="K125" s="132">
        <f t="shared" si="43"/>
        <v>0</v>
      </c>
      <c r="L125" s="133">
        <f t="shared" si="44"/>
        <v>0</v>
      </c>
      <c r="M125" s="132">
        <f>IF(SUM(K$28:K125)&gt;0,MIN(O124*(1+B$9)^(1/12),G$25-G125+K125),0)</f>
        <v>0</v>
      </c>
      <c r="N125" s="132">
        <f t="shared" si="30"/>
        <v>0</v>
      </c>
      <c r="O125" s="133">
        <f t="shared" si="31"/>
        <v>0</v>
      </c>
      <c r="P125" s="103">
        <f>SUM(N$27:N125)</f>
        <v>0</v>
      </c>
      <c r="Q125" s="103">
        <f t="shared" si="41"/>
        <v>0</v>
      </c>
      <c r="R125" s="103">
        <f t="shared" si="35"/>
        <v>0</v>
      </c>
      <c r="S125" s="103">
        <f t="shared" si="36"/>
        <v>0</v>
      </c>
      <c r="T125" s="103">
        <f t="shared" si="37"/>
        <v>0</v>
      </c>
      <c r="U125" s="96" t="s">
        <v>67</v>
      </c>
      <c r="V125" s="96" t="str">
        <f t="shared" si="32"/>
        <v>-</v>
      </c>
      <c r="W125" s="96" t="str">
        <f t="shared" si="38"/>
        <v>-</v>
      </c>
      <c r="X125" s="96" t="str">
        <f t="shared" si="39"/>
        <v>-</v>
      </c>
      <c r="Y125" s="107" t="str">
        <f t="shared" si="33"/>
        <v/>
      </c>
      <c r="Z125" s="71"/>
    </row>
    <row r="126" spans="1:26" x14ac:dyDescent="0.2">
      <c r="A126" s="108">
        <v>99</v>
      </c>
      <c r="B126" s="132">
        <f t="shared" si="42"/>
        <v>0</v>
      </c>
      <c r="C126" s="104">
        <f t="shared" si="40"/>
        <v>0</v>
      </c>
      <c r="D126" s="132">
        <f t="shared" si="25"/>
        <v>0</v>
      </c>
      <c r="E126" s="132">
        <f t="shared" si="26"/>
        <v>0</v>
      </c>
      <c r="F126" s="132">
        <f t="shared" si="27"/>
        <v>0</v>
      </c>
      <c r="G126" s="114">
        <f>IF(SUM(K$27:K125)&gt;0,0,IF(Y126&lt;&gt;"-",$B$3,0))</f>
        <v>0</v>
      </c>
      <c r="H126" s="114">
        <f t="shared" si="28"/>
        <v>0</v>
      </c>
      <c r="I126" s="105">
        <f t="shared" si="34"/>
        <v>0</v>
      </c>
      <c r="J126" s="105">
        <f t="shared" si="29"/>
        <v>0</v>
      </c>
      <c r="K126" s="132">
        <f t="shared" si="43"/>
        <v>0</v>
      </c>
      <c r="L126" s="133">
        <f t="shared" si="44"/>
        <v>0</v>
      </c>
      <c r="M126" s="132">
        <f>IF(SUM(K$28:K126)&gt;0,MIN(O125*(1+B$9)^(1/12),G$25-G126+K126),0)</f>
        <v>0</v>
      </c>
      <c r="N126" s="132">
        <f t="shared" si="30"/>
        <v>0</v>
      </c>
      <c r="O126" s="133">
        <f t="shared" si="31"/>
        <v>0</v>
      </c>
      <c r="P126" s="103">
        <f>SUM(N$27:N126)</f>
        <v>0</v>
      </c>
      <c r="Q126" s="103">
        <f t="shared" si="41"/>
        <v>0</v>
      </c>
      <c r="R126" s="103">
        <f t="shared" si="35"/>
        <v>0</v>
      </c>
      <c r="S126" s="103">
        <f t="shared" si="36"/>
        <v>0</v>
      </c>
      <c r="T126" s="103">
        <f t="shared" si="37"/>
        <v>0</v>
      </c>
      <c r="U126" s="96" t="s">
        <v>67</v>
      </c>
      <c r="V126" s="96" t="str">
        <f t="shared" si="32"/>
        <v>q</v>
      </c>
      <c r="W126" s="96" t="str">
        <f t="shared" si="38"/>
        <v>-</v>
      </c>
      <c r="X126" s="96" t="str">
        <f t="shared" si="39"/>
        <v>-</v>
      </c>
      <c r="Y126" s="107" t="str">
        <f t="shared" si="33"/>
        <v/>
      </c>
      <c r="Z126" s="71"/>
    </row>
    <row r="127" spans="1:26" x14ac:dyDescent="0.2">
      <c r="A127" s="108">
        <v>100</v>
      </c>
      <c r="B127" s="132">
        <f t="shared" si="42"/>
        <v>0</v>
      </c>
      <c r="C127" s="104">
        <f t="shared" si="40"/>
        <v>0</v>
      </c>
      <c r="D127" s="132">
        <f t="shared" si="25"/>
        <v>0</v>
      </c>
      <c r="E127" s="132">
        <f t="shared" si="26"/>
        <v>0</v>
      </c>
      <c r="F127" s="132">
        <f t="shared" si="27"/>
        <v>0</v>
      </c>
      <c r="G127" s="114">
        <f>IF(SUM(K$27:K126)&gt;0,0,IF(Y127&lt;&gt;"-",$B$3,0))</f>
        <v>0</v>
      </c>
      <c r="H127" s="114">
        <f t="shared" si="28"/>
        <v>0</v>
      </c>
      <c r="I127" s="105">
        <f t="shared" si="34"/>
        <v>0</v>
      </c>
      <c r="J127" s="105">
        <f t="shared" si="29"/>
        <v>0</v>
      </c>
      <c r="K127" s="132">
        <f t="shared" si="43"/>
        <v>0</v>
      </c>
      <c r="L127" s="133">
        <f t="shared" si="44"/>
        <v>0</v>
      </c>
      <c r="M127" s="132">
        <f>IF(SUM(K$28:K127)&gt;0,MIN(O126*(1+B$9)^(1/12),G$25-G127+K127),0)</f>
        <v>0</v>
      </c>
      <c r="N127" s="132">
        <f t="shared" si="30"/>
        <v>0</v>
      </c>
      <c r="O127" s="133">
        <f t="shared" si="31"/>
        <v>0</v>
      </c>
      <c r="P127" s="103">
        <f>SUM(N$27:N127)</f>
        <v>0</v>
      </c>
      <c r="Q127" s="103">
        <f t="shared" si="41"/>
        <v>0</v>
      </c>
      <c r="R127" s="103">
        <f t="shared" si="35"/>
        <v>0</v>
      </c>
      <c r="S127" s="103">
        <f t="shared" si="36"/>
        <v>0</v>
      </c>
      <c r="T127" s="103">
        <f t="shared" si="37"/>
        <v>0</v>
      </c>
      <c r="U127" s="96" t="s">
        <v>67</v>
      </c>
      <c r="V127" s="96" t="str">
        <f t="shared" si="32"/>
        <v>-</v>
      </c>
      <c r="W127" s="96" t="str">
        <f t="shared" si="38"/>
        <v>-</v>
      </c>
      <c r="X127" s="96" t="str">
        <f t="shared" si="39"/>
        <v>-</v>
      </c>
      <c r="Y127" s="107" t="str">
        <f t="shared" si="33"/>
        <v/>
      </c>
      <c r="Z127" s="71"/>
    </row>
    <row r="128" spans="1:26" x14ac:dyDescent="0.2">
      <c r="A128" s="108">
        <v>101</v>
      </c>
      <c r="B128" s="132">
        <f t="shared" si="42"/>
        <v>0</v>
      </c>
      <c r="C128" s="104">
        <f t="shared" si="40"/>
        <v>0</v>
      </c>
      <c r="D128" s="132">
        <f t="shared" si="25"/>
        <v>0</v>
      </c>
      <c r="E128" s="132">
        <f t="shared" si="26"/>
        <v>0</v>
      </c>
      <c r="F128" s="132">
        <f t="shared" si="27"/>
        <v>0</v>
      </c>
      <c r="G128" s="114">
        <f>IF(SUM(K$27:K127)&gt;0,0,IF(Y128&lt;&gt;"-",$B$3,0))</f>
        <v>0</v>
      </c>
      <c r="H128" s="114">
        <f t="shared" si="28"/>
        <v>0</v>
      </c>
      <c r="I128" s="105">
        <f t="shared" si="34"/>
        <v>0</v>
      </c>
      <c r="J128" s="105">
        <f t="shared" si="29"/>
        <v>0</v>
      </c>
      <c r="K128" s="132">
        <f t="shared" si="43"/>
        <v>0</v>
      </c>
      <c r="L128" s="133">
        <f t="shared" si="44"/>
        <v>0</v>
      </c>
      <c r="M128" s="132">
        <f>IF(SUM(K$28:K128)&gt;0,MIN(O127*(1+B$9)^(1/12),G$25-G128+K128),0)</f>
        <v>0</v>
      </c>
      <c r="N128" s="132">
        <f t="shared" si="30"/>
        <v>0</v>
      </c>
      <c r="O128" s="133">
        <f t="shared" si="31"/>
        <v>0</v>
      </c>
      <c r="P128" s="103">
        <f>SUM(N$27:N128)</f>
        <v>0</v>
      </c>
      <c r="Q128" s="103">
        <f t="shared" si="41"/>
        <v>0</v>
      </c>
      <c r="R128" s="103">
        <f t="shared" si="35"/>
        <v>0</v>
      </c>
      <c r="S128" s="103">
        <f t="shared" si="36"/>
        <v>0</v>
      </c>
      <c r="T128" s="103">
        <f t="shared" si="37"/>
        <v>0</v>
      </c>
      <c r="U128" s="96" t="s">
        <v>67</v>
      </c>
      <c r="V128" s="96" t="str">
        <f t="shared" si="32"/>
        <v>-</v>
      </c>
      <c r="W128" s="96" t="str">
        <f t="shared" si="38"/>
        <v>-</v>
      </c>
      <c r="X128" s="96" t="str">
        <f t="shared" si="39"/>
        <v>-</v>
      </c>
      <c r="Y128" s="107" t="str">
        <f t="shared" si="33"/>
        <v/>
      </c>
      <c r="Z128" s="71"/>
    </row>
    <row r="129" spans="1:26" x14ac:dyDescent="0.2">
      <c r="A129" s="108">
        <v>102</v>
      </c>
      <c r="B129" s="132">
        <f t="shared" si="42"/>
        <v>0</v>
      </c>
      <c r="C129" s="104">
        <f t="shared" si="40"/>
        <v>0</v>
      </c>
      <c r="D129" s="132">
        <f t="shared" si="25"/>
        <v>0</v>
      </c>
      <c r="E129" s="132">
        <f t="shared" si="26"/>
        <v>0</v>
      </c>
      <c r="F129" s="132">
        <f t="shared" si="27"/>
        <v>0</v>
      </c>
      <c r="G129" s="114">
        <f>IF(SUM(K$27:K128)&gt;0,0,IF(Y129&lt;&gt;"-",$B$3,0))</f>
        <v>0</v>
      </c>
      <c r="H129" s="114">
        <f t="shared" si="28"/>
        <v>0</v>
      </c>
      <c r="I129" s="105">
        <f t="shared" si="34"/>
        <v>0</v>
      </c>
      <c r="J129" s="105">
        <f t="shared" si="29"/>
        <v>0</v>
      </c>
      <c r="K129" s="132">
        <f t="shared" si="43"/>
        <v>0</v>
      </c>
      <c r="L129" s="133">
        <f t="shared" si="44"/>
        <v>0</v>
      </c>
      <c r="M129" s="132">
        <f>IF(SUM(K$28:K129)&gt;0,MIN(O128*(1+B$9)^(1/12),G$25-G129+K129),0)</f>
        <v>0</v>
      </c>
      <c r="N129" s="132">
        <f t="shared" si="30"/>
        <v>0</v>
      </c>
      <c r="O129" s="133">
        <f t="shared" si="31"/>
        <v>0</v>
      </c>
      <c r="P129" s="103">
        <f>SUM(N$27:N129)</f>
        <v>0</v>
      </c>
      <c r="Q129" s="103">
        <f t="shared" si="41"/>
        <v>0</v>
      </c>
      <c r="R129" s="103">
        <f t="shared" si="35"/>
        <v>0</v>
      </c>
      <c r="S129" s="103">
        <f t="shared" si="36"/>
        <v>0</v>
      </c>
      <c r="T129" s="103">
        <f t="shared" si="37"/>
        <v>0</v>
      </c>
      <c r="U129" s="96" t="s">
        <v>67</v>
      </c>
      <c r="V129" s="96" t="str">
        <f t="shared" si="32"/>
        <v>q</v>
      </c>
      <c r="W129" s="96" t="str">
        <f t="shared" si="38"/>
        <v>s</v>
      </c>
      <c r="X129" s="96" t="str">
        <f t="shared" si="39"/>
        <v>-</v>
      </c>
      <c r="Y129" s="107" t="str">
        <f t="shared" si="33"/>
        <v/>
      </c>
      <c r="Z129" s="71"/>
    </row>
    <row r="130" spans="1:26" x14ac:dyDescent="0.2">
      <c r="A130" s="108">
        <v>103</v>
      </c>
      <c r="B130" s="132">
        <f t="shared" si="42"/>
        <v>0</v>
      </c>
      <c r="C130" s="104">
        <f t="shared" si="40"/>
        <v>0</v>
      </c>
      <c r="D130" s="132">
        <f t="shared" si="25"/>
        <v>0</v>
      </c>
      <c r="E130" s="132">
        <f t="shared" si="26"/>
        <v>0</v>
      </c>
      <c r="F130" s="132">
        <f t="shared" si="27"/>
        <v>0</v>
      </c>
      <c r="G130" s="114">
        <f>IF(SUM(K$27:K129)&gt;0,0,IF(Y130&lt;&gt;"-",$B$3,0))</f>
        <v>0</v>
      </c>
      <c r="H130" s="114">
        <f t="shared" si="28"/>
        <v>0</v>
      </c>
      <c r="I130" s="105">
        <f t="shared" si="34"/>
        <v>0</v>
      </c>
      <c r="J130" s="105">
        <f t="shared" si="29"/>
        <v>0</v>
      </c>
      <c r="K130" s="132">
        <f t="shared" si="43"/>
        <v>0</v>
      </c>
      <c r="L130" s="133">
        <f t="shared" si="44"/>
        <v>0</v>
      </c>
      <c r="M130" s="132">
        <f>IF(SUM(K$28:K130)&gt;0,MIN(O129*(1+B$9)^(1/12),G$25-G130+K130),0)</f>
        <v>0</v>
      </c>
      <c r="N130" s="132">
        <f t="shared" si="30"/>
        <v>0</v>
      </c>
      <c r="O130" s="133">
        <f t="shared" si="31"/>
        <v>0</v>
      </c>
      <c r="P130" s="103">
        <f>SUM(N$27:N130)</f>
        <v>0</v>
      </c>
      <c r="Q130" s="103">
        <f t="shared" si="41"/>
        <v>0</v>
      </c>
      <c r="R130" s="103">
        <f t="shared" si="35"/>
        <v>0</v>
      </c>
      <c r="S130" s="103">
        <f t="shared" si="36"/>
        <v>0</v>
      </c>
      <c r="T130" s="103">
        <f t="shared" si="37"/>
        <v>0</v>
      </c>
      <c r="U130" s="96" t="s">
        <v>67</v>
      </c>
      <c r="V130" s="96" t="str">
        <f t="shared" si="32"/>
        <v>-</v>
      </c>
      <c r="W130" s="96" t="str">
        <f t="shared" si="38"/>
        <v>-</v>
      </c>
      <c r="X130" s="96" t="str">
        <f t="shared" si="39"/>
        <v>-</v>
      </c>
      <c r="Y130" s="107" t="str">
        <f t="shared" si="33"/>
        <v/>
      </c>
      <c r="Z130" s="71"/>
    </row>
    <row r="131" spans="1:26" x14ac:dyDescent="0.2">
      <c r="A131" s="108">
        <v>104</v>
      </c>
      <c r="B131" s="132">
        <f t="shared" si="42"/>
        <v>0</v>
      </c>
      <c r="C131" s="104">
        <f t="shared" si="40"/>
        <v>0</v>
      </c>
      <c r="D131" s="132">
        <f t="shared" si="25"/>
        <v>0</v>
      </c>
      <c r="E131" s="132">
        <f t="shared" si="26"/>
        <v>0</v>
      </c>
      <c r="F131" s="132">
        <f t="shared" si="27"/>
        <v>0</v>
      </c>
      <c r="G131" s="114">
        <f>IF(SUM(K$27:K130)&gt;0,0,IF(Y131&lt;&gt;"-",$B$3,0))</f>
        <v>0</v>
      </c>
      <c r="H131" s="114">
        <f t="shared" si="28"/>
        <v>0</v>
      </c>
      <c r="I131" s="105">
        <f t="shared" si="34"/>
        <v>0</v>
      </c>
      <c r="J131" s="105">
        <f t="shared" si="29"/>
        <v>0</v>
      </c>
      <c r="K131" s="132">
        <f t="shared" si="43"/>
        <v>0</v>
      </c>
      <c r="L131" s="133">
        <f t="shared" si="44"/>
        <v>0</v>
      </c>
      <c r="M131" s="132">
        <f>IF(SUM(K$28:K131)&gt;0,MIN(O130*(1+B$9)^(1/12),G$25-G131+K131),0)</f>
        <v>0</v>
      </c>
      <c r="N131" s="132">
        <f t="shared" si="30"/>
        <v>0</v>
      </c>
      <c r="O131" s="133">
        <f t="shared" si="31"/>
        <v>0</v>
      </c>
      <c r="P131" s="103">
        <f>SUM(N$27:N131)</f>
        <v>0</v>
      </c>
      <c r="Q131" s="103">
        <f t="shared" si="41"/>
        <v>0</v>
      </c>
      <c r="R131" s="103">
        <f t="shared" si="35"/>
        <v>0</v>
      </c>
      <c r="S131" s="103">
        <f t="shared" si="36"/>
        <v>0</v>
      </c>
      <c r="T131" s="103">
        <f t="shared" si="37"/>
        <v>0</v>
      </c>
      <c r="U131" s="96" t="s">
        <v>67</v>
      </c>
      <c r="V131" s="96" t="str">
        <f t="shared" si="32"/>
        <v>-</v>
      </c>
      <c r="W131" s="96" t="str">
        <f t="shared" si="38"/>
        <v>-</v>
      </c>
      <c r="X131" s="96" t="str">
        <f t="shared" si="39"/>
        <v>-</v>
      </c>
      <c r="Y131" s="107" t="str">
        <f t="shared" si="33"/>
        <v/>
      </c>
      <c r="Z131" s="71"/>
    </row>
    <row r="132" spans="1:26" x14ac:dyDescent="0.2">
      <c r="A132" s="108">
        <v>105</v>
      </c>
      <c r="B132" s="132">
        <f t="shared" si="42"/>
        <v>0</v>
      </c>
      <c r="C132" s="104">
        <f t="shared" si="40"/>
        <v>0</v>
      </c>
      <c r="D132" s="132">
        <f t="shared" si="25"/>
        <v>0</v>
      </c>
      <c r="E132" s="132">
        <f t="shared" si="26"/>
        <v>0</v>
      </c>
      <c r="F132" s="132">
        <f t="shared" si="27"/>
        <v>0</v>
      </c>
      <c r="G132" s="114">
        <f>IF(SUM(K$27:K131)&gt;0,0,IF(Y132&lt;&gt;"-",$B$3,0))</f>
        <v>0</v>
      </c>
      <c r="H132" s="114">
        <f t="shared" si="28"/>
        <v>0</v>
      </c>
      <c r="I132" s="105">
        <f t="shared" si="34"/>
        <v>0</v>
      </c>
      <c r="J132" s="105">
        <f t="shared" si="29"/>
        <v>0</v>
      </c>
      <c r="K132" s="132">
        <f t="shared" si="43"/>
        <v>0</v>
      </c>
      <c r="L132" s="133">
        <f t="shared" si="44"/>
        <v>0</v>
      </c>
      <c r="M132" s="132">
        <f>IF(SUM(K$28:K132)&gt;0,MIN(O131*(1+B$9)^(1/12),G$25-G132+K132),0)</f>
        <v>0</v>
      </c>
      <c r="N132" s="132">
        <f t="shared" si="30"/>
        <v>0</v>
      </c>
      <c r="O132" s="133">
        <f t="shared" si="31"/>
        <v>0</v>
      </c>
      <c r="P132" s="103">
        <f>SUM(N$27:N132)</f>
        <v>0</v>
      </c>
      <c r="Q132" s="103">
        <f t="shared" si="41"/>
        <v>0</v>
      </c>
      <c r="R132" s="103">
        <f t="shared" si="35"/>
        <v>0</v>
      </c>
      <c r="S132" s="103">
        <f t="shared" si="36"/>
        <v>0</v>
      </c>
      <c r="T132" s="103">
        <f t="shared" si="37"/>
        <v>0</v>
      </c>
      <c r="U132" s="96" t="s">
        <v>67</v>
      </c>
      <c r="V132" s="96" t="str">
        <f t="shared" si="32"/>
        <v>q</v>
      </c>
      <c r="W132" s="96" t="str">
        <f t="shared" si="38"/>
        <v>-</v>
      </c>
      <c r="X132" s="96" t="str">
        <f t="shared" si="39"/>
        <v>-</v>
      </c>
      <c r="Y132" s="107" t="str">
        <f t="shared" si="33"/>
        <v/>
      </c>
      <c r="Z132" s="71"/>
    </row>
    <row r="133" spans="1:26" x14ac:dyDescent="0.2">
      <c r="A133" s="108">
        <v>106</v>
      </c>
      <c r="B133" s="132">
        <f t="shared" si="42"/>
        <v>0</v>
      </c>
      <c r="C133" s="104">
        <f t="shared" si="40"/>
        <v>0</v>
      </c>
      <c r="D133" s="132">
        <f t="shared" si="25"/>
        <v>0</v>
      </c>
      <c r="E133" s="132">
        <f t="shared" si="26"/>
        <v>0</v>
      </c>
      <c r="F133" s="132">
        <f t="shared" si="27"/>
        <v>0</v>
      </c>
      <c r="G133" s="114">
        <f>IF(SUM(K$27:K132)&gt;0,0,IF(Y133&lt;&gt;"-",$B$3,0))</f>
        <v>0</v>
      </c>
      <c r="H133" s="114">
        <f t="shared" si="28"/>
        <v>0</v>
      </c>
      <c r="I133" s="105">
        <f t="shared" si="34"/>
        <v>0</v>
      </c>
      <c r="J133" s="105">
        <f t="shared" si="29"/>
        <v>0</v>
      </c>
      <c r="K133" s="134">
        <f t="shared" si="43"/>
        <v>0</v>
      </c>
      <c r="L133" s="135">
        <f t="shared" si="44"/>
        <v>0</v>
      </c>
      <c r="M133" s="134">
        <f>IF(SUM(K$28:K133)&gt;0,MIN(O132*(1+B$9)^(1/12),G$25-G133+K133),0)</f>
        <v>0</v>
      </c>
      <c r="N133" s="132">
        <f t="shared" si="30"/>
        <v>0</v>
      </c>
      <c r="O133" s="133">
        <f t="shared" si="31"/>
        <v>0</v>
      </c>
      <c r="P133" s="103">
        <f>SUM(N$27:N133)</f>
        <v>0</v>
      </c>
      <c r="Q133" s="103">
        <f t="shared" si="41"/>
        <v>0</v>
      </c>
      <c r="R133" s="103">
        <f t="shared" si="35"/>
        <v>0</v>
      </c>
      <c r="S133" s="103">
        <f t="shared" si="36"/>
        <v>0</v>
      </c>
      <c r="T133" s="103">
        <f t="shared" si="37"/>
        <v>0</v>
      </c>
      <c r="U133" s="96" t="s">
        <v>67</v>
      </c>
      <c r="V133" s="96" t="str">
        <f t="shared" si="32"/>
        <v>-</v>
      </c>
      <c r="W133" s="96" t="str">
        <f t="shared" si="38"/>
        <v>-</v>
      </c>
      <c r="X133" s="96" t="str">
        <f t="shared" si="39"/>
        <v>-</v>
      </c>
      <c r="Y133" s="107" t="str">
        <f t="shared" si="33"/>
        <v/>
      </c>
      <c r="Z133" s="71"/>
    </row>
    <row r="134" spans="1:26" x14ac:dyDescent="0.2">
      <c r="A134" s="108">
        <v>107</v>
      </c>
      <c r="B134" s="132">
        <f t="shared" si="42"/>
        <v>0</v>
      </c>
      <c r="C134" s="104">
        <f t="shared" si="40"/>
        <v>0</v>
      </c>
      <c r="D134" s="132">
        <f t="shared" si="25"/>
        <v>0</v>
      </c>
      <c r="E134" s="132">
        <f t="shared" si="26"/>
        <v>0</v>
      </c>
      <c r="F134" s="132">
        <f t="shared" si="27"/>
        <v>0</v>
      </c>
      <c r="G134" s="114">
        <f>IF(SUM(K$27:K133)&gt;0,0,IF(Y134&lt;&gt;"-",$B$3,0))</f>
        <v>0</v>
      </c>
      <c r="H134" s="114">
        <f t="shared" si="28"/>
        <v>0</v>
      </c>
      <c r="I134" s="105">
        <f t="shared" si="34"/>
        <v>0</v>
      </c>
      <c r="J134" s="105">
        <f t="shared" si="29"/>
        <v>0</v>
      </c>
      <c r="K134" s="132">
        <f t="shared" si="43"/>
        <v>0</v>
      </c>
      <c r="L134" s="133">
        <f t="shared" si="44"/>
        <v>0</v>
      </c>
      <c r="M134" s="132">
        <f>IF(SUM(K$28:K134)&gt;0,MIN(O133*(1+B$9)^(1/12),G$25-G134+K134),0)</f>
        <v>0</v>
      </c>
      <c r="N134" s="132">
        <f t="shared" si="30"/>
        <v>0</v>
      </c>
      <c r="O134" s="133">
        <f t="shared" si="31"/>
        <v>0</v>
      </c>
      <c r="P134" s="103">
        <f>SUM(N$27:N134)</f>
        <v>0</v>
      </c>
      <c r="Q134" s="103">
        <f t="shared" si="41"/>
        <v>0</v>
      </c>
      <c r="R134" s="103">
        <f t="shared" si="35"/>
        <v>0</v>
      </c>
      <c r="S134" s="103">
        <f t="shared" si="36"/>
        <v>0</v>
      </c>
      <c r="T134" s="103">
        <f t="shared" si="37"/>
        <v>0</v>
      </c>
      <c r="U134" s="96" t="s">
        <v>67</v>
      </c>
      <c r="V134" s="96" t="str">
        <f t="shared" si="32"/>
        <v>-</v>
      </c>
      <c r="W134" s="96" t="str">
        <f t="shared" si="38"/>
        <v>-</v>
      </c>
      <c r="X134" s="96" t="str">
        <f t="shared" si="39"/>
        <v>-</v>
      </c>
      <c r="Y134" s="107" t="str">
        <f t="shared" si="33"/>
        <v/>
      </c>
      <c r="Z134" s="71"/>
    </row>
    <row r="135" spans="1:26" x14ac:dyDescent="0.2">
      <c r="A135" s="110">
        <v>108</v>
      </c>
      <c r="B135" s="111">
        <f t="shared" si="42"/>
        <v>0</v>
      </c>
      <c r="C135" s="111">
        <f t="shared" si="40"/>
        <v>0</v>
      </c>
      <c r="D135" s="111">
        <f t="shared" si="25"/>
        <v>0</v>
      </c>
      <c r="E135" s="111">
        <f t="shared" si="26"/>
        <v>0</v>
      </c>
      <c r="F135" s="111">
        <f t="shared" si="27"/>
        <v>0</v>
      </c>
      <c r="G135" s="112">
        <f>IF(SUM(K$27:K134)&gt;0,0,IF(Y135&lt;&gt;"-",$B$3,0))</f>
        <v>0</v>
      </c>
      <c r="H135" s="112">
        <f t="shared" si="28"/>
        <v>0</v>
      </c>
      <c r="I135" s="112">
        <f t="shared" si="34"/>
        <v>0</v>
      </c>
      <c r="J135" s="112">
        <f t="shared" si="29"/>
        <v>0</v>
      </c>
      <c r="K135" s="111">
        <f t="shared" si="43"/>
        <v>0</v>
      </c>
      <c r="L135" s="113">
        <f t="shared" si="44"/>
        <v>0</v>
      </c>
      <c r="M135" s="111">
        <f>IF(SUM(K$28:K135)&gt;0,MIN(O134*(1+B$9)^(1/12),G$25-G135+K135),0)</f>
        <v>0</v>
      </c>
      <c r="N135" s="111">
        <f t="shared" si="30"/>
        <v>0</v>
      </c>
      <c r="O135" s="113">
        <f t="shared" si="31"/>
        <v>0</v>
      </c>
      <c r="P135" s="111">
        <f>SUM(N$27:N135)</f>
        <v>0</v>
      </c>
      <c r="Q135" s="111">
        <f t="shared" si="41"/>
        <v>0</v>
      </c>
      <c r="R135" s="111">
        <f t="shared" si="35"/>
        <v>0</v>
      </c>
      <c r="S135" s="111">
        <f t="shared" si="36"/>
        <v>0</v>
      </c>
      <c r="T135" s="111">
        <f t="shared" si="37"/>
        <v>0</v>
      </c>
      <c r="U135" s="101" t="s">
        <v>67</v>
      </c>
      <c r="V135" s="101" t="str">
        <f t="shared" si="32"/>
        <v>q</v>
      </c>
      <c r="W135" s="101" t="str">
        <f t="shared" si="38"/>
        <v>s</v>
      </c>
      <c r="X135" s="101" t="str">
        <f t="shared" si="39"/>
        <v>a</v>
      </c>
      <c r="Y135" s="107" t="str">
        <f t="shared" si="33"/>
        <v/>
      </c>
      <c r="Z135" s="71"/>
    </row>
    <row r="136" spans="1:26" x14ac:dyDescent="0.2">
      <c r="A136" s="108">
        <v>109</v>
      </c>
      <c r="B136" s="132">
        <f t="shared" si="42"/>
        <v>0</v>
      </c>
      <c r="C136" s="104">
        <f t="shared" si="40"/>
        <v>0</v>
      </c>
      <c r="D136" s="132">
        <f t="shared" si="25"/>
        <v>0</v>
      </c>
      <c r="E136" s="132">
        <f t="shared" si="26"/>
        <v>0</v>
      </c>
      <c r="F136" s="132">
        <f t="shared" si="27"/>
        <v>0</v>
      </c>
      <c r="G136" s="114">
        <f>IF(SUM(K$27:K135)&gt;0,0,IF(Y136&lt;&gt;"-",$B$3,0))</f>
        <v>0</v>
      </c>
      <c r="H136" s="114">
        <f t="shared" si="28"/>
        <v>0</v>
      </c>
      <c r="I136" s="105">
        <f t="shared" si="34"/>
        <v>0</v>
      </c>
      <c r="J136" s="105">
        <f t="shared" si="29"/>
        <v>0</v>
      </c>
      <c r="K136" s="132">
        <f t="shared" si="43"/>
        <v>0</v>
      </c>
      <c r="L136" s="133">
        <f t="shared" si="44"/>
        <v>0</v>
      </c>
      <c r="M136" s="132">
        <f>IF(SUM(K$28:K136)&gt;0,MIN(O135*(1+B$9)^(1/12),G$25-G136+K136),0)</f>
        <v>0</v>
      </c>
      <c r="N136" s="132">
        <f t="shared" si="30"/>
        <v>0</v>
      </c>
      <c r="O136" s="133">
        <f t="shared" si="31"/>
        <v>0</v>
      </c>
      <c r="P136" s="103">
        <f>SUM(N$27:N136)</f>
        <v>0</v>
      </c>
      <c r="Q136" s="103">
        <f t="shared" si="41"/>
        <v>0</v>
      </c>
      <c r="R136" s="103">
        <f t="shared" si="35"/>
        <v>0</v>
      </c>
      <c r="S136" s="103">
        <f t="shared" si="36"/>
        <v>0</v>
      </c>
      <c r="T136" s="103">
        <f t="shared" si="37"/>
        <v>0</v>
      </c>
      <c r="U136" s="96" t="s">
        <v>67</v>
      </c>
      <c r="V136" s="96" t="str">
        <f t="shared" si="32"/>
        <v>-</v>
      </c>
      <c r="W136" s="96" t="str">
        <f t="shared" si="38"/>
        <v>-</v>
      </c>
      <c r="X136" s="96" t="str">
        <f t="shared" si="39"/>
        <v>-</v>
      </c>
      <c r="Y136" s="107" t="str">
        <f t="shared" si="33"/>
        <v/>
      </c>
      <c r="Z136" s="71"/>
    </row>
    <row r="137" spans="1:26" x14ac:dyDescent="0.2">
      <c r="A137" s="108">
        <v>110</v>
      </c>
      <c r="B137" s="132">
        <f t="shared" si="42"/>
        <v>0</v>
      </c>
      <c r="C137" s="104">
        <f t="shared" si="40"/>
        <v>0</v>
      </c>
      <c r="D137" s="132">
        <f t="shared" si="25"/>
        <v>0</v>
      </c>
      <c r="E137" s="132">
        <f t="shared" si="26"/>
        <v>0</v>
      </c>
      <c r="F137" s="132">
        <f t="shared" si="27"/>
        <v>0</v>
      </c>
      <c r="G137" s="114">
        <f>IF(SUM(K$27:K136)&gt;0,0,IF(Y137&lt;&gt;"-",$B$3,0))</f>
        <v>0</v>
      </c>
      <c r="H137" s="114">
        <f t="shared" si="28"/>
        <v>0</v>
      </c>
      <c r="I137" s="105">
        <f t="shared" si="34"/>
        <v>0</v>
      </c>
      <c r="J137" s="105">
        <f t="shared" si="29"/>
        <v>0</v>
      </c>
      <c r="K137" s="132">
        <f t="shared" si="43"/>
        <v>0</v>
      </c>
      <c r="L137" s="133">
        <f t="shared" si="44"/>
        <v>0</v>
      </c>
      <c r="M137" s="132">
        <f>IF(SUM(K$28:K137)&gt;0,MIN(O136*(1+B$9)^(1/12),G$25-G137+K137),0)</f>
        <v>0</v>
      </c>
      <c r="N137" s="132">
        <f t="shared" si="30"/>
        <v>0</v>
      </c>
      <c r="O137" s="133">
        <f t="shared" si="31"/>
        <v>0</v>
      </c>
      <c r="P137" s="103">
        <f>SUM(N$27:N137)</f>
        <v>0</v>
      </c>
      <c r="Q137" s="103">
        <f t="shared" si="41"/>
        <v>0</v>
      </c>
      <c r="R137" s="103">
        <f t="shared" si="35"/>
        <v>0</v>
      </c>
      <c r="S137" s="103">
        <f t="shared" si="36"/>
        <v>0</v>
      </c>
      <c r="T137" s="103">
        <f t="shared" si="37"/>
        <v>0</v>
      </c>
      <c r="U137" s="96" t="s">
        <v>67</v>
      </c>
      <c r="V137" s="96" t="str">
        <f t="shared" si="32"/>
        <v>-</v>
      </c>
      <c r="W137" s="96" t="str">
        <f t="shared" si="38"/>
        <v>-</v>
      </c>
      <c r="X137" s="96" t="str">
        <f t="shared" si="39"/>
        <v>-</v>
      </c>
      <c r="Y137" s="107" t="str">
        <f t="shared" si="33"/>
        <v/>
      </c>
      <c r="Z137" s="71"/>
    </row>
    <row r="138" spans="1:26" x14ac:dyDescent="0.2">
      <c r="A138" s="108">
        <v>111</v>
      </c>
      <c r="B138" s="132">
        <f t="shared" si="42"/>
        <v>0</v>
      </c>
      <c r="C138" s="104">
        <f t="shared" si="40"/>
        <v>0</v>
      </c>
      <c r="D138" s="132">
        <f t="shared" si="25"/>
        <v>0</v>
      </c>
      <c r="E138" s="132">
        <f t="shared" si="26"/>
        <v>0</v>
      </c>
      <c r="F138" s="132">
        <f t="shared" si="27"/>
        <v>0</v>
      </c>
      <c r="G138" s="114">
        <f>IF(SUM(K$27:K137)&gt;0,0,IF(Y138&lt;&gt;"-",$B$3,0))</f>
        <v>0</v>
      </c>
      <c r="H138" s="114">
        <f t="shared" si="28"/>
        <v>0</v>
      </c>
      <c r="I138" s="105">
        <f t="shared" si="34"/>
        <v>0</v>
      </c>
      <c r="J138" s="105">
        <f t="shared" si="29"/>
        <v>0</v>
      </c>
      <c r="K138" s="132">
        <f t="shared" si="43"/>
        <v>0</v>
      </c>
      <c r="L138" s="133">
        <f t="shared" si="44"/>
        <v>0</v>
      </c>
      <c r="M138" s="132">
        <f>IF(SUM(K$28:K138)&gt;0,MIN(O137*(1+B$9)^(1/12),G$25-G138+K138),0)</f>
        <v>0</v>
      </c>
      <c r="N138" s="132">
        <f t="shared" si="30"/>
        <v>0</v>
      </c>
      <c r="O138" s="133">
        <f t="shared" si="31"/>
        <v>0</v>
      </c>
      <c r="P138" s="103">
        <f>SUM(N$27:N138)</f>
        <v>0</v>
      </c>
      <c r="Q138" s="103">
        <f t="shared" si="41"/>
        <v>0</v>
      </c>
      <c r="R138" s="103">
        <f t="shared" si="35"/>
        <v>0</v>
      </c>
      <c r="S138" s="103">
        <f t="shared" si="36"/>
        <v>0</v>
      </c>
      <c r="T138" s="103">
        <f t="shared" si="37"/>
        <v>0</v>
      </c>
      <c r="U138" s="96" t="s">
        <v>67</v>
      </c>
      <c r="V138" s="96" t="str">
        <f t="shared" si="32"/>
        <v>q</v>
      </c>
      <c r="W138" s="96" t="str">
        <f t="shared" si="38"/>
        <v>-</v>
      </c>
      <c r="X138" s="96" t="str">
        <f t="shared" si="39"/>
        <v>-</v>
      </c>
      <c r="Y138" s="107" t="str">
        <f t="shared" si="33"/>
        <v/>
      </c>
      <c r="Z138" s="71"/>
    </row>
    <row r="139" spans="1:26" x14ac:dyDescent="0.2">
      <c r="A139" s="108">
        <v>112</v>
      </c>
      <c r="B139" s="132">
        <f t="shared" si="42"/>
        <v>0</v>
      </c>
      <c r="C139" s="104">
        <f t="shared" si="40"/>
        <v>0</v>
      </c>
      <c r="D139" s="132">
        <f t="shared" si="25"/>
        <v>0</v>
      </c>
      <c r="E139" s="132">
        <f t="shared" si="26"/>
        <v>0</v>
      </c>
      <c r="F139" s="132">
        <f t="shared" si="27"/>
        <v>0</v>
      </c>
      <c r="G139" s="114">
        <f>IF(SUM(K$27:K138)&gt;0,0,IF(Y139&lt;&gt;"-",$B$3,0))</f>
        <v>0</v>
      </c>
      <c r="H139" s="114">
        <f t="shared" si="28"/>
        <v>0</v>
      </c>
      <c r="I139" s="105">
        <f t="shared" si="34"/>
        <v>0</v>
      </c>
      <c r="J139" s="105">
        <f t="shared" si="29"/>
        <v>0</v>
      </c>
      <c r="K139" s="132">
        <f t="shared" si="43"/>
        <v>0</v>
      </c>
      <c r="L139" s="133">
        <f t="shared" si="44"/>
        <v>0</v>
      </c>
      <c r="M139" s="132">
        <f>IF(SUM(K$28:K139)&gt;0,MIN(O138*(1+B$9)^(1/12),G$25-G139+K139),0)</f>
        <v>0</v>
      </c>
      <c r="N139" s="132">
        <f t="shared" si="30"/>
        <v>0</v>
      </c>
      <c r="O139" s="133">
        <f t="shared" si="31"/>
        <v>0</v>
      </c>
      <c r="P139" s="103">
        <f>SUM(N$27:N139)</f>
        <v>0</v>
      </c>
      <c r="Q139" s="103">
        <f t="shared" si="41"/>
        <v>0</v>
      </c>
      <c r="R139" s="103">
        <f t="shared" si="35"/>
        <v>0</v>
      </c>
      <c r="S139" s="103">
        <f t="shared" si="36"/>
        <v>0</v>
      </c>
      <c r="T139" s="103">
        <f t="shared" si="37"/>
        <v>0</v>
      </c>
      <c r="U139" s="96" t="s">
        <v>67</v>
      </c>
      <c r="V139" s="96" t="str">
        <f t="shared" si="32"/>
        <v>-</v>
      </c>
      <c r="W139" s="96" t="str">
        <f t="shared" si="38"/>
        <v>-</v>
      </c>
      <c r="X139" s="96" t="str">
        <f t="shared" si="39"/>
        <v>-</v>
      </c>
      <c r="Y139" s="107" t="str">
        <f t="shared" si="33"/>
        <v/>
      </c>
      <c r="Z139" s="71"/>
    </row>
    <row r="140" spans="1:26" x14ac:dyDescent="0.2">
      <c r="A140" s="108">
        <v>113</v>
      </c>
      <c r="B140" s="132">
        <f t="shared" si="42"/>
        <v>0</v>
      </c>
      <c r="C140" s="104">
        <f t="shared" si="40"/>
        <v>0</v>
      </c>
      <c r="D140" s="132">
        <f t="shared" si="25"/>
        <v>0</v>
      </c>
      <c r="E140" s="132">
        <f t="shared" si="26"/>
        <v>0</v>
      </c>
      <c r="F140" s="132">
        <f t="shared" si="27"/>
        <v>0</v>
      </c>
      <c r="G140" s="114">
        <f>IF(SUM(K$27:K139)&gt;0,0,IF(Y140&lt;&gt;"-",$B$3,0))</f>
        <v>0</v>
      </c>
      <c r="H140" s="114">
        <f t="shared" si="28"/>
        <v>0</v>
      </c>
      <c r="I140" s="105">
        <f t="shared" si="34"/>
        <v>0</v>
      </c>
      <c r="J140" s="105">
        <f t="shared" si="29"/>
        <v>0</v>
      </c>
      <c r="K140" s="132">
        <f t="shared" si="43"/>
        <v>0</v>
      </c>
      <c r="L140" s="133">
        <f t="shared" si="44"/>
        <v>0</v>
      </c>
      <c r="M140" s="132">
        <f>IF(SUM(K$28:K140)&gt;0,MIN(O139*(1+B$9)^(1/12),G$25-G140+K140),0)</f>
        <v>0</v>
      </c>
      <c r="N140" s="132">
        <f t="shared" si="30"/>
        <v>0</v>
      </c>
      <c r="O140" s="133">
        <f t="shared" si="31"/>
        <v>0</v>
      </c>
      <c r="P140" s="103">
        <f>SUM(N$27:N140)</f>
        <v>0</v>
      </c>
      <c r="Q140" s="103">
        <f t="shared" si="41"/>
        <v>0</v>
      </c>
      <c r="R140" s="103">
        <f t="shared" si="35"/>
        <v>0</v>
      </c>
      <c r="S140" s="103">
        <f t="shared" si="36"/>
        <v>0</v>
      </c>
      <c r="T140" s="103">
        <f t="shared" si="37"/>
        <v>0</v>
      </c>
      <c r="U140" s="96" t="s">
        <v>67</v>
      </c>
      <c r="V140" s="96" t="str">
        <f t="shared" si="32"/>
        <v>-</v>
      </c>
      <c r="W140" s="96" t="str">
        <f t="shared" si="38"/>
        <v>-</v>
      </c>
      <c r="X140" s="96" t="str">
        <f t="shared" si="39"/>
        <v>-</v>
      </c>
      <c r="Y140" s="107" t="str">
        <f t="shared" si="33"/>
        <v/>
      </c>
      <c r="Z140" s="71"/>
    </row>
    <row r="141" spans="1:26" x14ac:dyDescent="0.2">
      <c r="A141" s="108">
        <v>114</v>
      </c>
      <c r="B141" s="132">
        <f t="shared" si="42"/>
        <v>0</v>
      </c>
      <c r="C141" s="104">
        <f t="shared" si="40"/>
        <v>0</v>
      </c>
      <c r="D141" s="132">
        <f t="shared" si="25"/>
        <v>0</v>
      </c>
      <c r="E141" s="132">
        <f t="shared" si="26"/>
        <v>0</v>
      </c>
      <c r="F141" s="132">
        <f t="shared" si="27"/>
        <v>0</v>
      </c>
      <c r="G141" s="114">
        <f>IF(SUM(K$27:K140)&gt;0,0,IF(Y141&lt;&gt;"-",$B$3,0))</f>
        <v>0</v>
      </c>
      <c r="H141" s="114">
        <f t="shared" si="28"/>
        <v>0</v>
      </c>
      <c r="I141" s="105">
        <f t="shared" si="34"/>
        <v>0</v>
      </c>
      <c r="J141" s="105">
        <f t="shared" si="29"/>
        <v>0</v>
      </c>
      <c r="K141" s="132">
        <f t="shared" si="43"/>
        <v>0</v>
      </c>
      <c r="L141" s="133">
        <f t="shared" si="44"/>
        <v>0</v>
      </c>
      <c r="M141" s="132">
        <f>IF(SUM(K$28:K141)&gt;0,MIN(O140*(1+B$9)^(1/12),G$25-G141+K141),0)</f>
        <v>0</v>
      </c>
      <c r="N141" s="132">
        <f t="shared" si="30"/>
        <v>0</v>
      </c>
      <c r="O141" s="133">
        <f t="shared" si="31"/>
        <v>0</v>
      </c>
      <c r="P141" s="103">
        <f>SUM(N$27:N141)</f>
        <v>0</v>
      </c>
      <c r="Q141" s="103">
        <f t="shared" si="41"/>
        <v>0</v>
      </c>
      <c r="R141" s="103">
        <f t="shared" si="35"/>
        <v>0</v>
      </c>
      <c r="S141" s="103">
        <f t="shared" si="36"/>
        <v>0</v>
      </c>
      <c r="T141" s="103">
        <f t="shared" si="37"/>
        <v>0</v>
      </c>
      <c r="U141" s="96" t="s">
        <v>67</v>
      </c>
      <c r="V141" s="96" t="str">
        <f t="shared" si="32"/>
        <v>q</v>
      </c>
      <c r="W141" s="96" t="str">
        <f t="shared" si="38"/>
        <v>s</v>
      </c>
      <c r="X141" s="96" t="str">
        <f t="shared" si="39"/>
        <v>-</v>
      </c>
      <c r="Y141" s="107" t="str">
        <f t="shared" si="33"/>
        <v/>
      </c>
      <c r="Z141" s="71"/>
    </row>
    <row r="142" spans="1:26" x14ac:dyDescent="0.2">
      <c r="A142" s="108">
        <v>115</v>
      </c>
      <c r="B142" s="132">
        <f t="shared" si="42"/>
        <v>0</v>
      </c>
      <c r="C142" s="104">
        <f t="shared" si="40"/>
        <v>0</v>
      </c>
      <c r="D142" s="132">
        <f t="shared" si="25"/>
        <v>0</v>
      </c>
      <c r="E142" s="132">
        <f t="shared" si="26"/>
        <v>0</v>
      </c>
      <c r="F142" s="132">
        <f t="shared" si="27"/>
        <v>0</v>
      </c>
      <c r="G142" s="114">
        <f>IF(SUM(K$27:K141)&gt;0,0,IF(Y142&lt;&gt;"-",$B$3,0))</f>
        <v>0</v>
      </c>
      <c r="H142" s="114">
        <f t="shared" si="28"/>
        <v>0</v>
      </c>
      <c r="I142" s="105">
        <f t="shared" si="34"/>
        <v>0</v>
      </c>
      <c r="J142" s="105">
        <f t="shared" si="29"/>
        <v>0</v>
      </c>
      <c r="K142" s="132">
        <f t="shared" si="43"/>
        <v>0</v>
      </c>
      <c r="L142" s="133">
        <f t="shared" si="44"/>
        <v>0</v>
      </c>
      <c r="M142" s="132">
        <f>IF(SUM(K$28:K142)&gt;0,MIN(O141*(1+B$9)^(1/12),G$25-G142+K142),0)</f>
        <v>0</v>
      </c>
      <c r="N142" s="132">
        <f t="shared" si="30"/>
        <v>0</v>
      </c>
      <c r="O142" s="133">
        <f t="shared" si="31"/>
        <v>0</v>
      </c>
      <c r="P142" s="103">
        <f>SUM(N$27:N142)</f>
        <v>0</v>
      </c>
      <c r="Q142" s="103">
        <f t="shared" si="41"/>
        <v>0</v>
      </c>
      <c r="R142" s="103">
        <f t="shared" si="35"/>
        <v>0</v>
      </c>
      <c r="S142" s="103">
        <f t="shared" si="36"/>
        <v>0</v>
      </c>
      <c r="T142" s="103">
        <f t="shared" si="37"/>
        <v>0</v>
      </c>
      <c r="U142" s="96" t="s">
        <v>67</v>
      </c>
      <c r="V142" s="96" t="str">
        <f t="shared" si="32"/>
        <v>-</v>
      </c>
      <c r="W142" s="96" t="str">
        <f t="shared" si="38"/>
        <v>-</v>
      </c>
      <c r="X142" s="96" t="str">
        <f t="shared" si="39"/>
        <v>-</v>
      </c>
      <c r="Y142" s="107" t="str">
        <f t="shared" si="33"/>
        <v/>
      </c>
      <c r="Z142" s="71"/>
    </row>
    <row r="143" spans="1:26" x14ac:dyDescent="0.2">
      <c r="A143" s="108">
        <v>116</v>
      </c>
      <c r="B143" s="132">
        <f t="shared" si="42"/>
        <v>0</v>
      </c>
      <c r="C143" s="104">
        <f t="shared" si="40"/>
        <v>0</v>
      </c>
      <c r="D143" s="132">
        <f t="shared" si="25"/>
        <v>0</v>
      </c>
      <c r="E143" s="132">
        <f t="shared" si="26"/>
        <v>0</v>
      </c>
      <c r="F143" s="132">
        <f t="shared" si="27"/>
        <v>0</v>
      </c>
      <c r="G143" s="114">
        <f>IF(SUM(K$27:K142)&gt;0,0,IF(Y143&lt;&gt;"-",$B$3,0))</f>
        <v>0</v>
      </c>
      <c r="H143" s="114">
        <f t="shared" si="28"/>
        <v>0</v>
      </c>
      <c r="I143" s="105">
        <f t="shared" si="34"/>
        <v>0</v>
      </c>
      <c r="J143" s="105">
        <f t="shared" si="29"/>
        <v>0</v>
      </c>
      <c r="K143" s="132">
        <f t="shared" si="43"/>
        <v>0</v>
      </c>
      <c r="L143" s="133">
        <f t="shared" si="44"/>
        <v>0</v>
      </c>
      <c r="M143" s="132">
        <f>IF(SUM(K$28:K143)&gt;0,MIN(O142*(1+B$9)^(1/12),G$25-G143+K143),0)</f>
        <v>0</v>
      </c>
      <c r="N143" s="132">
        <f t="shared" si="30"/>
        <v>0</v>
      </c>
      <c r="O143" s="133">
        <f t="shared" si="31"/>
        <v>0</v>
      </c>
      <c r="P143" s="103">
        <f>SUM(N$27:N143)</f>
        <v>0</v>
      </c>
      <c r="Q143" s="103">
        <f t="shared" si="41"/>
        <v>0</v>
      </c>
      <c r="R143" s="103">
        <f>R142+G143</f>
        <v>0</v>
      </c>
      <c r="S143" s="103">
        <f t="shared" si="36"/>
        <v>0</v>
      </c>
      <c r="T143" s="103">
        <f t="shared" si="37"/>
        <v>0</v>
      </c>
      <c r="U143" s="96" t="s">
        <v>67</v>
      </c>
      <c r="V143" s="96" t="str">
        <f t="shared" si="32"/>
        <v>-</v>
      </c>
      <c r="W143" s="96" t="str">
        <f t="shared" si="38"/>
        <v>-</v>
      </c>
      <c r="X143" s="96" t="str">
        <f t="shared" si="39"/>
        <v>-</v>
      </c>
      <c r="Y143" s="107" t="str">
        <f t="shared" si="33"/>
        <v/>
      </c>
      <c r="Z143" s="71"/>
    </row>
    <row r="144" spans="1:26" x14ac:dyDescent="0.2">
      <c r="A144" s="108">
        <v>117</v>
      </c>
      <c r="B144" s="132">
        <f t="shared" si="42"/>
        <v>0</v>
      </c>
      <c r="C144" s="104">
        <f t="shared" si="40"/>
        <v>0</v>
      </c>
      <c r="D144" s="132">
        <f t="shared" si="25"/>
        <v>0</v>
      </c>
      <c r="E144" s="132">
        <f t="shared" si="26"/>
        <v>0</v>
      </c>
      <c r="F144" s="132">
        <f t="shared" si="27"/>
        <v>0</v>
      </c>
      <c r="G144" s="114">
        <f>IF(SUM(K$27:K143)&gt;0,0,IF(Y144&lt;&gt;"-",$B$3,0))</f>
        <v>0</v>
      </c>
      <c r="H144" s="114">
        <f t="shared" si="28"/>
        <v>0</v>
      </c>
      <c r="I144" s="105">
        <f t="shared" si="34"/>
        <v>0</v>
      </c>
      <c r="J144" s="105">
        <f t="shared" si="29"/>
        <v>0</v>
      </c>
      <c r="K144" s="132">
        <f t="shared" si="43"/>
        <v>0</v>
      </c>
      <c r="L144" s="133">
        <f t="shared" si="44"/>
        <v>0</v>
      </c>
      <c r="M144" s="132">
        <f>IF(SUM(K$28:K144)&gt;0,MIN(O143*(1+B$9)^(1/12),G$25-G144+K144),0)</f>
        <v>0</v>
      </c>
      <c r="N144" s="132">
        <f t="shared" si="30"/>
        <v>0</v>
      </c>
      <c r="O144" s="133">
        <f t="shared" si="31"/>
        <v>0</v>
      </c>
      <c r="P144" s="103">
        <f>SUM(N$27:N144)</f>
        <v>0</v>
      </c>
      <c r="Q144" s="103">
        <f t="shared" si="41"/>
        <v>0</v>
      </c>
      <c r="R144" s="103">
        <f t="shared" si="35"/>
        <v>0</v>
      </c>
      <c r="S144" s="103">
        <f t="shared" si="36"/>
        <v>0</v>
      </c>
      <c r="T144" s="103">
        <f t="shared" si="37"/>
        <v>0</v>
      </c>
      <c r="U144" s="96" t="s">
        <v>67</v>
      </c>
      <c r="V144" s="96" t="str">
        <f t="shared" si="32"/>
        <v>q</v>
      </c>
      <c r="W144" s="96" t="str">
        <f t="shared" si="38"/>
        <v>-</v>
      </c>
      <c r="X144" s="96" t="str">
        <f t="shared" si="39"/>
        <v>-</v>
      </c>
      <c r="Y144" s="107" t="str">
        <f t="shared" si="33"/>
        <v/>
      </c>
      <c r="Z144" s="71"/>
    </row>
    <row r="145" spans="1:26" x14ac:dyDescent="0.2">
      <c r="A145" s="108">
        <v>118</v>
      </c>
      <c r="B145" s="132">
        <f t="shared" si="42"/>
        <v>0</v>
      </c>
      <c r="C145" s="104">
        <f t="shared" si="40"/>
        <v>0</v>
      </c>
      <c r="D145" s="132">
        <f t="shared" si="25"/>
        <v>0</v>
      </c>
      <c r="E145" s="132">
        <f t="shared" si="26"/>
        <v>0</v>
      </c>
      <c r="F145" s="132">
        <f t="shared" si="27"/>
        <v>0</v>
      </c>
      <c r="G145" s="114">
        <f>IF(SUM(K$27:K144)&gt;0,0,IF(Y145&lt;&gt;"-",$B$3,0))</f>
        <v>0</v>
      </c>
      <c r="H145" s="114">
        <f t="shared" si="28"/>
        <v>0</v>
      </c>
      <c r="I145" s="105">
        <f t="shared" si="34"/>
        <v>0</v>
      </c>
      <c r="J145" s="105">
        <f t="shared" si="29"/>
        <v>0</v>
      </c>
      <c r="K145" s="132">
        <f t="shared" si="43"/>
        <v>0</v>
      </c>
      <c r="L145" s="133">
        <f t="shared" si="44"/>
        <v>0</v>
      </c>
      <c r="M145" s="132">
        <f>IF(SUM(K$28:K145)&gt;0,MIN(O144*(1+B$9)^(1/12),G$25-G145+K145),0)</f>
        <v>0</v>
      </c>
      <c r="N145" s="132">
        <f t="shared" si="30"/>
        <v>0</v>
      </c>
      <c r="O145" s="133">
        <f t="shared" si="31"/>
        <v>0</v>
      </c>
      <c r="P145" s="103">
        <f>SUM(N$27:N145)</f>
        <v>0</v>
      </c>
      <c r="Q145" s="103">
        <f t="shared" si="41"/>
        <v>0</v>
      </c>
      <c r="R145" s="103">
        <f t="shared" si="35"/>
        <v>0</v>
      </c>
      <c r="S145" s="103">
        <f t="shared" si="36"/>
        <v>0</v>
      </c>
      <c r="T145" s="103">
        <f t="shared" si="37"/>
        <v>0</v>
      </c>
      <c r="U145" s="96" t="s">
        <v>67</v>
      </c>
      <c r="V145" s="96" t="str">
        <f t="shared" si="32"/>
        <v>-</v>
      </c>
      <c r="W145" s="96" t="str">
        <f t="shared" si="38"/>
        <v>-</v>
      </c>
      <c r="X145" s="96" t="str">
        <f t="shared" si="39"/>
        <v>-</v>
      </c>
      <c r="Y145" s="107" t="str">
        <f t="shared" si="33"/>
        <v/>
      </c>
      <c r="Z145" s="71"/>
    </row>
    <row r="146" spans="1:26" x14ac:dyDescent="0.2">
      <c r="A146" s="108">
        <v>119</v>
      </c>
      <c r="B146" s="132">
        <f>G146+H146-D146-K146</f>
        <v>0</v>
      </c>
      <c r="C146" s="104">
        <f t="shared" si="40"/>
        <v>0</v>
      </c>
      <c r="D146" s="132">
        <f t="shared" si="25"/>
        <v>0</v>
      </c>
      <c r="E146" s="132">
        <f t="shared" si="26"/>
        <v>0</v>
      </c>
      <c r="F146" s="132">
        <f t="shared" si="27"/>
        <v>0</v>
      </c>
      <c r="G146" s="114">
        <f>IF(SUM(K$27:K145)&gt;0,0,IF(Y146&lt;&gt;"-",$B$3,0))</f>
        <v>0</v>
      </c>
      <c r="H146" s="114">
        <f t="shared" si="28"/>
        <v>0</v>
      </c>
      <c r="I146" s="105">
        <f t="shared" si="34"/>
        <v>0</v>
      </c>
      <c r="J146" s="105">
        <f t="shared" si="29"/>
        <v>0</v>
      </c>
      <c r="K146" s="132">
        <f t="shared" si="43"/>
        <v>0</v>
      </c>
      <c r="L146" s="133">
        <f t="shared" si="44"/>
        <v>0</v>
      </c>
      <c r="M146" s="132">
        <f>IF(SUM(K$28:K146)&gt;0,MIN(O145*(1+B$9)^(1/12),G$25-G146+K146),0)</f>
        <v>0</v>
      </c>
      <c r="N146" s="132">
        <f t="shared" si="30"/>
        <v>0</v>
      </c>
      <c r="O146" s="133">
        <f t="shared" si="31"/>
        <v>0</v>
      </c>
      <c r="P146" s="103">
        <f>SUM(N$27:N146)</f>
        <v>0</v>
      </c>
      <c r="Q146" s="103">
        <f t="shared" si="41"/>
        <v>0</v>
      </c>
      <c r="R146" s="103">
        <f t="shared" si="35"/>
        <v>0</v>
      </c>
      <c r="S146" s="103">
        <f t="shared" si="36"/>
        <v>0</v>
      </c>
      <c r="T146" s="103">
        <f t="shared" si="37"/>
        <v>0</v>
      </c>
      <c r="U146" s="96" t="s">
        <v>67</v>
      </c>
      <c r="V146" s="96" t="str">
        <f t="shared" si="32"/>
        <v>-</v>
      </c>
      <c r="W146" s="96" t="str">
        <f t="shared" si="38"/>
        <v>-</v>
      </c>
      <c r="X146" s="96" t="str">
        <f t="shared" si="39"/>
        <v>-</v>
      </c>
      <c r="Y146" s="107" t="str">
        <f t="shared" si="33"/>
        <v/>
      </c>
      <c r="Z146" s="71"/>
    </row>
    <row r="147" spans="1:26" x14ac:dyDescent="0.2">
      <c r="A147" s="110">
        <v>120</v>
      </c>
      <c r="B147" s="111">
        <f>L147+G147+H147-D147-K147</f>
        <v>0</v>
      </c>
      <c r="C147" s="111">
        <f t="shared" si="40"/>
        <v>0</v>
      </c>
      <c r="D147" s="111">
        <f t="shared" si="25"/>
        <v>0</v>
      </c>
      <c r="E147" s="111">
        <f t="shared" si="26"/>
        <v>0</v>
      </c>
      <c r="F147" s="111">
        <f t="shared" si="27"/>
        <v>0</v>
      </c>
      <c r="G147" s="112">
        <f>IF(SUM(K$27:K146)&gt;0,0,IF(Y147&lt;&gt;"-",$B$3,0))</f>
        <v>0</v>
      </c>
      <c r="H147" s="112">
        <f t="shared" si="28"/>
        <v>0</v>
      </c>
      <c r="I147" s="112">
        <f t="shared" si="34"/>
        <v>0</v>
      </c>
      <c r="J147" s="112">
        <f t="shared" si="29"/>
        <v>0</v>
      </c>
      <c r="K147" s="111">
        <f t="shared" si="43"/>
        <v>0</v>
      </c>
      <c r="L147" s="113">
        <f t="shared" si="44"/>
        <v>0</v>
      </c>
      <c r="M147" s="111">
        <f>IF(SUM(K$28:K147)&gt;0,MIN(O146*(1+B$9)^(1/12),G$25-G147+K147),0)</f>
        <v>0</v>
      </c>
      <c r="N147" s="111">
        <f t="shared" si="30"/>
        <v>0</v>
      </c>
      <c r="O147" s="113">
        <f t="shared" si="31"/>
        <v>0</v>
      </c>
      <c r="P147" s="111">
        <f>SUM(N$27:N147)</f>
        <v>0</v>
      </c>
      <c r="Q147" s="111">
        <f t="shared" si="41"/>
        <v>0</v>
      </c>
      <c r="R147" s="111">
        <f t="shared" si="35"/>
        <v>0</v>
      </c>
      <c r="S147" s="111">
        <f t="shared" si="36"/>
        <v>0</v>
      </c>
      <c r="T147" s="111">
        <f t="shared" si="37"/>
        <v>0</v>
      </c>
      <c r="U147" s="101" t="s">
        <v>67</v>
      </c>
      <c r="V147" s="101" t="str">
        <f t="shared" si="32"/>
        <v>q</v>
      </c>
      <c r="W147" s="101" t="str">
        <f t="shared" si="38"/>
        <v>s</v>
      </c>
      <c r="X147" s="101" t="str">
        <f t="shared" si="39"/>
        <v>a</v>
      </c>
      <c r="Y147" s="107" t="str">
        <f t="shared" si="33"/>
        <v/>
      </c>
      <c r="Z147" s="71"/>
    </row>
    <row r="148" spans="1:26" x14ac:dyDescent="0.2">
      <c r="A148" s="136"/>
      <c r="B148" s="136"/>
      <c r="C148" s="136"/>
      <c r="D148" s="136"/>
      <c r="E148" s="136"/>
      <c r="F148" s="136"/>
      <c r="G148" s="136"/>
      <c r="H148" s="136"/>
      <c r="I148" s="136"/>
      <c r="J148" s="136"/>
      <c r="K148" s="136"/>
      <c r="L148" s="136"/>
      <c r="M148" s="137"/>
      <c r="N148" s="115"/>
      <c r="O148" s="136"/>
      <c r="P148" s="136"/>
      <c r="Q148" s="136"/>
      <c r="R148" s="136"/>
      <c r="S148" s="136"/>
      <c r="T148" s="136"/>
      <c r="U148" s="136"/>
      <c r="V148" s="136"/>
      <c r="W148" s="136"/>
      <c r="X148" s="136"/>
      <c r="Y148" s="136"/>
      <c r="Z148" s="71"/>
    </row>
    <row r="149" spans="1:26" x14ac:dyDescent="0.2">
      <c r="A149" s="71"/>
      <c r="B149" s="71"/>
      <c r="C149" s="71"/>
      <c r="D149" s="71"/>
      <c r="E149" s="71"/>
      <c r="F149" s="71"/>
      <c r="G149" s="71"/>
      <c r="H149" s="71"/>
      <c r="I149" s="71"/>
      <c r="J149" s="71"/>
      <c r="K149" s="71"/>
      <c r="L149" s="71"/>
      <c r="M149" s="138"/>
      <c r="N149" s="71"/>
      <c r="O149" s="71"/>
      <c r="P149" s="71"/>
      <c r="Q149" s="139"/>
      <c r="R149" s="71"/>
      <c r="S149" s="71"/>
      <c r="T149" s="71"/>
      <c r="U149" s="71"/>
      <c r="V149" s="71"/>
      <c r="W149" s="71"/>
      <c r="X149" s="71"/>
      <c r="Y149" s="71"/>
      <c r="Z149" s="71"/>
    </row>
    <row r="150" spans="1:26" x14ac:dyDescent="0.2">
      <c r="A150" s="71"/>
      <c r="B150" s="71"/>
      <c r="C150" s="71"/>
      <c r="D150" s="71"/>
      <c r="E150" s="71"/>
      <c r="F150" s="71"/>
      <c r="G150" s="71"/>
      <c r="H150" s="71"/>
      <c r="I150" s="71"/>
      <c r="J150" s="71"/>
      <c r="K150" s="71"/>
      <c r="L150" s="71"/>
      <c r="M150" s="138"/>
      <c r="N150" s="71"/>
      <c r="O150" s="71"/>
      <c r="P150" s="71"/>
      <c r="Q150" s="139"/>
      <c r="R150" s="71"/>
      <c r="S150" s="71"/>
      <c r="T150" s="71"/>
      <c r="U150" s="71"/>
      <c r="V150" s="71"/>
      <c r="W150" s="71"/>
      <c r="X150" s="71"/>
      <c r="Y150" s="71"/>
      <c r="Z150" s="71"/>
    </row>
    <row r="151" spans="1:26" x14ac:dyDescent="0.2">
      <c r="A151" s="71"/>
      <c r="B151" s="71"/>
      <c r="C151" s="71"/>
      <c r="D151" s="71"/>
      <c r="E151" s="71"/>
      <c r="F151" s="71"/>
      <c r="G151" s="71"/>
      <c r="H151" s="71"/>
      <c r="I151" s="71"/>
      <c r="J151" s="71"/>
      <c r="K151" s="71"/>
      <c r="L151" s="71"/>
      <c r="M151" s="138"/>
      <c r="N151" s="71"/>
      <c r="O151" s="71"/>
      <c r="P151" s="71"/>
      <c r="Q151" s="139"/>
      <c r="R151" s="71"/>
      <c r="S151" s="71"/>
      <c r="T151" s="71"/>
      <c r="U151" s="71"/>
      <c r="V151" s="71"/>
      <c r="W151" s="71"/>
      <c r="X151" s="71"/>
      <c r="Y151" s="71"/>
      <c r="Z151" s="71"/>
    </row>
    <row r="152" spans="1:26" x14ac:dyDescent="0.2">
      <c r="A152" s="71"/>
      <c r="B152" s="71"/>
      <c r="C152" s="71"/>
      <c r="D152" s="71"/>
      <c r="E152" s="71"/>
      <c r="F152" s="71"/>
      <c r="G152" s="71"/>
      <c r="H152" s="71"/>
      <c r="I152" s="71"/>
      <c r="J152" s="71"/>
      <c r="K152" s="71"/>
      <c r="L152" s="71"/>
      <c r="M152" s="138"/>
      <c r="N152" s="71"/>
      <c r="O152" s="71"/>
      <c r="P152" s="71"/>
      <c r="Q152" s="139"/>
      <c r="R152" s="71"/>
      <c r="S152" s="71"/>
      <c r="T152" s="71"/>
      <c r="U152" s="71"/>
      <c r="V152" s="71"/>
      <c r="W152" s="71"/>
      <c r="X152" s="71"/>
      <c r="Y152" s="71"/>
      <c r="Z152" s="71"/>
    </row>
    <row r="153" spans="1:26" x14ac:dyDescent="0.2">
      <c r="A153" s="71"/>
      <c r="B153" s="71"/>
      <c r="C153" s="71"/>
      <c r="D153" s="71"/>
      <c r="E153" s="71"/>
      <c r="F153" s="71"/>
      <c r="G153" s="71"/>
      <c r="H153" s="71"/>
      <c r="I153" s="71"/>
      <c r="J153" s="71"/>
      <c r="K153" s="71"/>
      <c r="L153" s="71"/>
      <c r="M153" s="138"/>
      <c r="N153" s="71"/>
      <c r="O153" s="71"/>
      <c r="P153" s="71"/>
      <c r="Q153" s="139"/>
      <c r="R153" s="71"/>
      <c r="S153" s="71"/>
      <c r="T153" s="71"/>
      <c r="U153" s="71"/>
      <c r="V153" s="71"/>
      <c r="W153" s="71"/>
      <c r="X153" s="71"/>
      <c r="Y153" s="71"/>
      <c r="Z153" s="71"/>
    </row>
    <row r="154" spans="1:26" x14ac:dyDescent="0.2">
      <c r="A154" s="71"/>
      <c r="B154" s="71"/>
      <c r="C154" s="71"/>
      <c r="D154" s="71"/>
      <c r="E154" s="71"/>
      <c r="F154" s="71"/>
      <c r="G154" s="71"/>
      <c r="H154" s="71"/>
      <c r="I154" s="71"/>
      <c r="J154" s="71"/>
      <c r="K154" s="71"/>
      <c r="L154" s="71"/>
      <c r="M154" s="138"/>
      <c r="N154" s="71"/>
      <c r="O154" s="71"/>
      <c r="P154" s="71"/>
      <c r="Q154" s="139"/>
      <c r="R154" s="71"/>
      <c r="S154" s="71"/>
      <c r="T154" s="71"/>
      <c r="U154" s="71"/>
      <c r="V154" s="71"/>
      <c r="W154" s="71"/>
      <c r="X154" s="71"/>
      <c r="Y154" s="71"/>
      <c r="Z154" s="71"/>
    </row>
    <row r="155" spans="1:26" x14ac:dyDescent="0.2">
      <c r="A155" s="71"/>
      <c r="B155" s="71"/>
      <c r="C155" s="71"/>
      <c r="D155" s="71"/>
      <c r="E155" s="71"/>
      <c r="F155" s="71"/>
      <c r="G155" s="71"/>
      <c r="H155" s="71"/>
      <c r="I155" s="71"/>
      <c r="J155" s="71"/>
      <c r="K155" s="71"/>
      <c r="L155" s="71"/>
      <c r="M155" s="138"/>
      <c r="N155" s="71"/>
      <c r="O155" s="71"/>
      <c r="P155" s="71"/>
      <c r="Q155" s="139"/>
      <c r="R155" s="71"/>
      <c r="S155" s="71"/>
      <c r="T155" s="71"/>
      <c r="U155" s="71"/>
      <c r="V155" s="71"/>
      <c r="W155" s="71"/>
      <c r="X155" s="71"/>
      <c r="Y155" s="71"/>
      <c r="Z155" s="71"/>
    </row>
    <row r="156" spans="1:26" x14ac:dyDescent="0.2">
      <c r="A156" s="71"/>
      <c r="B156" s="71"/>
      <c r="C156" s="71"/>
      <c r="D156" s="71"/>
      <c r="E156" s="71"/>
      <c r="F156" s="71"/>
      <c r="G156" s="71"/>
      <c r="H156" s="71"/>
      <c r="I156" s="71"/>
      <c r="J156" s="71"/>
      <c r="K156" s="71"/>
      <c r="L156" s="71"/>
      <c r="M156" s="138"/>
      <c r="N156" s="71"/>
      <c r="O156" s="71"/>
      <c r="P156" s="71"/>
      <c r="Q156" s="139"/>
      <c r="R156" s="71"/>
      <c r="S156" s="71"/>
      <c r="T156" s="71"/>
      <c r="U156" s="71"/>
      <c r="V156" s="71"/>
      <c r="W156" s="71"/>
      <c r="X156" s="71"/>
      <c r="Y156" s="71"/>
      <c r="Z156" s="71"/>
    </row>
    <row r="157" spans="1:26" x14ac:dyDescent="0.2">
      <c r="A157" s="71"/>
      <c r="B157" s="71"/>
      <c r="C157" s="71"/>
      <c r="D157" s="71"/>
      <c r="E157" s="71"/>
      <c r="F157" s="71"/>
      <c r="G157" s="71"/>
      <c r="H157" s="71"/>
      <c r="I157" s="71"/>
      <c r="J157" s="71"/>
      <c r="K157" s="71"/>
      <c r="L157" s="71"/>
      <c r="M157" s="138"/>
      <c r="N157" s="71"/>
      <c r="O157" s="71"/>
      <c r="P157" s="71"/>
      <c r="Q157" s="139"/>
      <c r="R157" s="71"/>
      <c r="S157" s="71"/>
      <c r="T157" s="71"/>
      <c r="U157" s="71"/>
      <c r="V157" s="71"/>
      <c r="W157" s="71"/>
      <c r="X157" s="71"/>
      <c r="Y157" s="71"/>
      <c r="Z157" s="71"/>
    </row>
    <row r="158" spans="1:26" x14ac:dyDescent="0.2">
      <c r="A158" s="71"/>
      <c r="B158" s="71"/>
      <c r="C158" s="71"/>
      <c r="D158" s="71"/>
      <c r="E158" s="71"/>
      <c r="F158" s="71"/>
      <c r="G158" s="71"/>
      <c r="H158" s="71"/>
      <c r="I158" s="71"/>
      <c r="J158" s="71"/>
      <c r="K158" s="71"/>
      <c r="L158" s="71"/>
      <c r="M158" s="138"/>
      <c r="N158" s="71"/>
      <c r="O158" s="71"/>
      <c r="P158" s="71"/>
      <c r="Q158" s="139"/>
      <c r="R158" s="71"/>
      <c r="S158" s="71"/>
      <c r="T158" s="71"/>
      <c r="U158" s="71"/>
      <c r="V158" s="71"/>
      <c r="W158" s="71"/>
      <c r="X158" s="71"/>
      <c r="Y158" s="71"/>
      <c r="Z158" s="71"/>
    </row>
    <row r="159" spans="1:26" x14ac:dyDescent="0.2">
      <c r="A159" s="71"/>
      <c r="B159" s="71"/>
      <c r="C159" s="71"/>
      <c r="D159" s="71"/>
      <c r="E159" s="71"/>
      <c r="F159" s="71"/>
      <c r="G159" s="71"/>
      <c r="H159" s="71"/>
      <c r="I159" s="71"/>
      <c r="J159" s="71"/>
      <c r="K159" s="71"/>
      <c r="L159" s="71"/>
      <c r="M159" s="138"/>
      <c r="N159" s="71"/>
      <c r="O159" s="71"/>
      <c r="P159" s="71"/>
      <c r="Q159" s="139"/>
      <c r="R159" s="71"/>
      <c r="S159" s="71"/>
      <c r="T159" s="71"/>
      <c r="U159" s="71"/>
      <c r="V159" s="71"/>
      <c r="W159" s="71"/>
      <c r="X159" s="71"/>
      <c r="Y159" s="71"/>
      <c r="Z159" s="71"/>
    </row>
    <row r="160" spans="1:26" x14ac:dyDescent="0.2">
      <c r="A160" s="71"/>
      <c r="B160" s="71"/>
      <c r="C160" s="71"/>
      <c r="D160" s="71"/>
      <c r="E160" s="71"/>
      <c r="F160" s="71"/>
      <c r="G160" s="71"/>
      <c r="H160" s="71"/>
      <c r="I160" s="71"/>
      <c r="J160" s="71"/>
      <c r="K160" s="71"/>
      <c r="L160" s="71"/>
      <c r="M160" s="138"/>
      <c r="N160" s="71"/>
      <c r="O160" s="71"/>
      <c r="P160" s="71"/>
      <c r="Q160" s="139"/>
      <c r="R160" s="71"/>
      <c r="S160" s="71"/>
      <c r="T160" s="71"/>
      <c r="U160" s="71"/>
      <c r="V160" s="71"/>
      <c r="W160" s="71"/>
      <c r="X160" s="71"/>
      <c r="Y160" s="71"/>
      <c r="Z160" s="71"/>
    </row>
    <row r="161" spans="1:26" x14ac:dyDescent="0.2">
      <c r="A161" s="71"/>
      <c r="B161" s="71"/>
      <c r="C161" s="71"/>
      <c r="D161" s="71"/>
      <c r="E161" s="71"/>
      <c r="F161" s="71"/>
      <c r="G161" s="71"/>
      <c r="H161" s="71"/>
      <c r="I161" s="71"/>
      <c r="J161" s="71"/>
      <c r="K161" s="71"/>
      <c r="L161" s="71"/>
      <c r="M161" s="138"/>
      <c r="N161" s="71"/>
      <c r="O161" s="71"/>
      <c r="P161" s="71"/>
      <c r="Q161" s="139"/>
      <c r="R161" s="71"/>
      <c r="S161" s="71"/>
      <c r="T161" s="71"/>
      <c r="U161" s="71"/>
      <c r="V161" s="71"/>
      <c r="W161" s="71"/>
      <c r="X161" s="71"/>
      <c r="Y161" s="71"/>
      <c r="Z161" s="71"/>
    </row>
    <row r="162" spans="1:26" x14ac:dyDescent="0.2">
      <c r="A162" s="71"/>
      <c r="B162" s="71"/>
      <c r="C162" s="71"/>
      <c r="D162" s="71"/>
      <c r="E162" s="71"/>
      <c r="F162" s="71"/>
      <c r="G162" s="71"/>
      <c r="H162" s="71"/>
      <c r="I162" s="71"/>
      <c r="J162" s="71"/>
      <c r="K162" s="71"/>
      <c r="L162" s="71"/>
      <c r="M162" s="138"/>
      <c r="N162" s="71"/>
      <c r="O162" s="71"/>
      <c r="P162" s="71"/>
      <c r="Q162" s="139"/>
      <c r="R162" s="71"/>
      <c r="S162" s="71"/>
      <c r="T162" s="71"/>
      <c r="U162" s="71"/>
      <c r="V162" s="71"/>
      <c r="W162" s="71"/>
      <c r="X162" s="71"/>
      <c r="Y162" s="71"/>
      <c r="Z162" s="71"/>
    </row>
    <row r="163" spans="1:26" x14ac:dyDescent="0.2">
      <c r="A163" s="71"/>
      <c r="B163" s="71"/>
      <c r="C163" s="71"/>
      <c r="D163" s="71"/>
      <c r="E163" s="71"/>
      <c r="F163" s="71"/>
      <c r="G163" s="71"/>
      <c r="H163" s="71"/>
      <c r="I163" s="71"/>
      <c r="J163" s="71"/>
      <c r="K163" s="71"/>
      <c r="L163" s="71"/>
      <c r="M163" s="138"/>
      <c r="N163" s="71"/>
      <c r="O163" s="71"/>
      <c r="P163" s="71"/>
      <c r="Q163" s="139"/>
      <c r="R163" s="71"/>
      <c r="S163" s="71"/>
      <c r="T163" s="71"/>
      <c r="U163" s="71"/>
      <c r="V163" s="71"/>
      <c r="W163" s="71"/>
      <c r="X163" s="71"/>
      <c r="Y163" s="71"/>
      <c r="Z163" s="71"/>
    </row>
    <row r="164" spans="1:26" x14ac:dyDescent="0.2">
      <c r="A164" s="71"/>
      <c r="B164" s="71"/>
      <c r="C164" s="71"/>
      <c r="D164" s="71"/>
      <c r="E164" s="71"/>
      <c r="F164" s="71"/>
      <c r="G164" s="71"/>
      <c r="H164" s="71"/>
      <c r="I164" s="71"/>
      <c r="J164" s="71"/>
      <c r="K164" s="71"/>
      <c r="L164" s="71"/>
      <c r="M164" s="138"/>
      <c r="N164" s="71"/>
      <c r="O164" s="71"/>
      <c r="P164" s="71"/>
      <c r="Q164" s="139"/>
      <c r="R164" s="71"/>
      <c r="S164" s="71"/>
      <c r="T164" s="71"/>
      <c r="U164" s="71"/>
      <c r="V164" s="71"/>
      <c r="W164" s="71"/>
      <c r="X164" s="71"/>
      <c r="Y164" s="71"/>
      <c r="Z164" s="71"/>
    </row>
    <row r="165" spans="1:26" x14ac:dyDescent="0.2">
      <c r="A165" s="71"/>
      <c r="B165" s="71"/>
      <c r="C165" s="71"/>
      <c r="D165" s="71"/>
      <c r="E165" s="71"/>
      <c r="F165" s="71"/>
      <c r="G165" s="71"/>
      <c r="H165" s="71"/>
      <c r="I165" s="71"/>
      <c r="J165" s="71"/>
      <c r="K165" s="71"/>
      <c r="L165" s="71"/>
      <c r="M165" s="138"/>
      <c r="N165" s="71"/>
      <c r="O165" s="71"/>
      <c r="P165" s="71"/>
      <c r="Q165" s="139"/>
      <c r="R165" s="71"/>
      <c r="S165" s="71"/>
      <c r="T165" s="71"/>
      <c r="U165" s="71"/>
      <c r="V165" s="71"/>
      <c r="W165" s="71"/>
      <c r="X165" s="71"/>
      <c r="Y165" s="71"/>
      <c r="Z165" s="71"/>
    </row>
    <row r="166" spans="1:26" x14ac:dyDescent="0.2">
      <c r="A166" s="71"/>
      <c r="B166" s="71"/>
      <c r="C166" s="71"/>
      <c r="D166" s="71"/>
      <c r="E166" s="71"/>
      <c r="F166" s="71"/>
      <c r="G166" s="71"/>
      <c r="H166" s="71"/>
      <c r="I166" s="71"/>
      <c r="J166" s="71"/>
      <c r="K166" s="71"/>
      <c r="L166" s="71"/>
      <c r="M166" s="138"/>
      <c r="N166" s="71"/>
      <c r="O166" s="71"/>
      <c r="P166" s="71"/>
      <c r="Q166" s="139"/>
      <c r="R166" s="71"/>
      <c r="S166" s="71"/>
      <c r="T166" s="71"/>
      <c r="U166" s="71"/>
      <c r="V166" s="71"/>
      <c r="W166" s="71"/>
      <c r="X166" s="71"/>
      <c r="Y166" s="71"/>
      <c r="Z166" s="71"/>
    </row>
    <row r="167" spans="1:26" x14ac:dyDescent="0.2">
      <c r="A167" s="71"/>
      <c r="B167" s="71"/>
      <c r="C167" s="71"/>
      <c r="D167" s="71"/>
      <c r="E167" s="71"/>
      <c r="F167" s="71"/>
      <c r="G167" s="71"/>
      <c r="H167" s="71"/>
      <c r="I167" s="71"/>
      <c r="J167" s="71"/>
      <c r="K167" s="71"/>
      <c r="L167" s="71"/>
      <c r="M167" s="138"/>
      <c r="N167" s="71"/>
      <c r="O167" s="71"/>
      <c r="P167" s="71"/>
      <c r="Q167" s="139"/>
      <c r="R167" s="71"/>
      <c r="S167" s="71"/>
      <c r="T167" s="71"/>
      <c r="U167" s="71"/>
      <c r="V167" s="71"/>
      <c r="W167" s="71"/>
      <c r="X167" s="71"/>
      <c r="Y167" s="71"/>
      <c r="Z167" s="71"/>
    </row>
    <row r="168" spans="1:26" x14ac:dyDescent="0.2">
      <c r="A168" s="71"/>
      <c r="B168" s="71"/>
      <c r="C168" s="71"/>
      <c r="D168" s="71"/>
      <c r="E168" s="71"/>
      <c r="F168" s="71"/>
      <c r="G168" s="71"/>
      <c r="H168" s="71"/>
      <c r="I168" s="71"/>
      <c r="J168" s="71"/>
      <c r="K168" s="71"/>
      <c r="L168" s="71"/>
      <c r="M168" s="138"/>
      <c r="N168" s="71"/>
      <c r="O168" s="71"/>
      <c r="P168" s="71"/>
      <c r="Q168" s="139"/>
      <c r="R168" s="71"/>
      <c r="S168" s="71"/>
      <c r="T168" s="71"/>
      <c r="U168" s="71"/>
      <c r="V168" s="71"/>
      <c r="W168" s="71"/>
      <c r="X168" s="71"/>
      <c r="Y168" s="71"/>
      <c r="Z168" s="71"/>
    </row>
    <row r="169" spans="1:26" x14ac:dyDescent="0.2">
      <c r="A169" s="71"/>
      <c r="B169" s="71"/>
      <c r="C169" s="71"/>
      <c r="D169" s="71"/>
      <c r="E169" s="71"/>
      <c r="F169" s="71"/>
      <c r="G169" s="71"/>
      <c r="H169" s="71"/>
      <c r="I169" s="71"/>
      <c r="J169" s="71"/>
      <c r="K169" s="71"/>
      <c r="L169" s="71"/>
      <c r="M169" s="138"/>
      <c r="N169" s="71"/>
      <c r="O169" s="71"/>
      <c r="P169" s="71"/>
      <c r="Q169" s="139"/>
      <c r="R169" s="71"/>
      <c r="S169" s="71"/>
      <c r="T169" s="71"/>
      <c r="U169" s="71"/>
      <c r="V169" s="71"/>
      <c r="W169" s="71"/>
      <c r="X169" s="71"/>
      <c r="Y169" s="71"/>
      <c r="Z169" s="71"/>
    </row>
    <row r="170" spans="1:26" x14ac:dyDescent="0.2">
      <c r="A170" s="71"/>
      <c r="B170" s="71"/>
      <c r="C170" s="71"/>
      <c r="D170" s="71"/>
      <c r="E170" s="71"/>
      <c r="F170" s="71"/>
      <c r="G170" s="71"/>
      <c r="H170" s="71"/>
      <c r="I170" s="71"/>
      <c r="J170" s="71"/>
      <c r="K170" s="71"/>
      <c r="L170" s="71"/>
      <c r="M170" s="138"/>
      <c r="N170" s="71"/>
      <c r="O170" s="71"/>
      <c r="P170" s="71"/>
      <c r="Q170" s="139"/>
      <c r="R170" s="71"/>
      <c r="S170" s="71"/>
      <c r="T170" s="71"/>
      <c r="U170" s="71"/>
      <c r="V170" s="71"/>
      <c r="W170" s="71"/>
      <c r="X170" s="71"/>
      <c r="Y170" s="71"/>
      <c r="Z170" s="71"/>
    </row>
    <row r="171" spans="1:26" x14ac:dyDescent="0.2">
      <c r="A171" s="71"/>
      <c r="B171" s="71"/>
      <c r="C171" s="71"/>
      <c r="D171" s="71"/>
      <c r="E171" s="71"/>
      <c r="F171" s="71"/>
      <c r="G171" s="71"/>
      <c r="H171" s="71"/>
      <c r="I171" s="71"/>
      <c r="J171" s="71"/>
      <c r="K171" s="71"/>
      <c r="L171" s="71"/>
      <c r="M171" s="138"/>
      <c r="N171" s="71"/>
      <c r="O171" s="71"/>
      <c r="P171" s="71"/>
      <c r="Q171" s="139"/>
      <c r="R171" s="71"/>
      <c r="S171" s="71"/>
      <c r="T171" s="71"/>
      <c r="U171" s="71"/>
      <c r="V171" s="71"/>
      <c r="W171" s="71"/>
      <c r="X171" s="71"/>
      <c r="Y171" s="71"/>
      <c r="Z171" s="71"/>
    </row>
    <row r="172" spans="1:26" x14ac:dyDescent="0.2">
      <c r="A172" s="71"/>
      <c r="B172" s="71"/>
      <c r="C172" s="71"/>
      <c r="D172" s="71"/>
      <c r="E172" s="71"/>
      <c r="F172" s="71"/>
      <c r="G172" s="71"/>
      <c r="H172" s="71"/>
      <c r="I172" s="71"/>
      <c r="J172" s="71"/>
      <c r="K172" s="71"/>
      <c r="L172" s="71"/>
      <c r="M172" s="138"/>
      <c r="N172" s="71"/>
      <c r="O172" s="71"/>
      <c r="P172" s="71"/>
      <c r="Q172" s="139"/>
      <c r="R172" s="71"/>
      <c r="S172" s="71"/>
      <c r="T172" s="71"/>
      <c r="U172" s="71"/>
      <c r="V172" s="71"/>
      <c r="W172" s="71"/>
      <c r="X172" s="71"/>
      <c r="Y172" s="71"/>
      <c r="Z172" s="71"/>
    </row>
    <row r="173" spans="1:26" x14ac:dyDescent="0.2">
      <c r="Q173" s="79"/>
    </row>
    <row r="174" spans="1:26" x14ac:dyDescent="0.2">
      <c r="Q174" s="79"/>
    </row>
    <row r="175" spans="1:26" x14ac:dyDescent="0.2">
      <c r="Q175" s="79"/>
    </row>
    <row r="176" spans="1:26" x14ac:dyDescent="0.2">
      <c r="Q176" s="79"/>
    </row>
    <row r="177" spans="17:17" x14ac:dyDescent="0.2">
      <c r="Q177" s="79"/>
    </row>
    <row r="178" spans="17:17" x14ac:dyDescent="0.2">
      <c r="Q178" s="79"/>
    </row>
    <row r="179" spans="17:17" x14ac:dyDescent="0.2">
      <c r="Q179" s="79"/>
    </row>
    <row r="180" spans="17:17" x14ac:dyDescent="0.2">
      <c r="Q180" s="79"/>
    </row>
    <row r="181" spans="17:17" x14ac:dyDescent="0.2">
      <c r="Q181" s="79"/>
    </row>
    <row r="182" spans="17:17" x14ac:dyDescent="0.2">
      <c r="Q182" s="79"/>
    </row>
    <row r="183" spans="17:17" x14ac:dyDescent="0.2">
      <c r="Q183" s="79"/>
    </row>
    <row r="184" spans="17:17" x14ac:dyDescent="0.2">
      <c r="Q184" s="79"/>
    </row>
    <row r="185" spans="17:17" x14ac:dyDescent="0.2">
      <c r="Q185" s="79"/>
    </row>
    <row r="186" spans="17:17" x14ac:dyDescent="0.2">
      <c r="Q186" s="79"/>
    </row>
    <row r="187" spans="17:17" x14ac:dyDescent="0.2">
      <c r="Q187" s="79"/>
    </row>
    <row r="188" spans="17:17" x14ac:dyDescent="0.2">
      <c r="Q188" s="79"/>
    </row>
    <row r="189" spans="17:17" x14ac:dyDescent="0.2">
      <c r="Q189" s="79"/>
    </row>
    <row r="190" spans="17:17" x14ac:dyDescent="0.2">
      <c r="Q190" s="79"/>
    </row>
    <row r="191" spans="17:17" x14ac:dyDescent="0.2">
      <c r="Q191" s="79"/>
    </row>
    <row r="192" spans="17:17" x14ac:dyDescent="0.2">
      <c r="Q192" s="79"/>
    </row>
    <row r="193" spans="17:17" x14ac:dyDescent="0.2">
      <c r="Q193" s="79"/>
    </row>
    <row r="194" spans="17:17" x14ac:dyDescent="0.2">
      <c r="Q194" s="79"/>
    </row>
    <row r="195" spans="17:17" x14ac:dyDescent="0.2">
      <c r="Q195" s="79"/>
    </row>
    <row r="196" spans="17:17" x14ac:dyDescent="0.2">
      <c r="Q196" s="79"/>
    </row>
    <row r="197" spans="17:17" x14ac:dyDescent="0.2">
      <c r="Q197" s="79"/>
    </row>
    <row r="198" spans="17:17" x14ac:dyDescent="0.2">
      <c r="Q198" s="79"/>
    </row>
    <row r="199" spans="17:17" x14ac:dyDescent="0.2">
      <c r="Q199" s="79"/>
    </row>
    <row r="200" spans="17:17" x14ac:dyDescent="0.2">
      <c r="Q200" s="79"/>
    </row>
    <row r="201" spans="17:17" x14ac:dyDescent="0.2">
      <c r="Q201" s="79"/>
    </row>
    <row r="202" spans="17:17" x14ac:dyDescent="0.2">
      <c r="Q202" s="79"/>
    </row>
    <row r="203" spans="17:17" x14ac:dyDescent="0.2">
      <c r="Q203" s="79"/>
    </row>
    <row r="204" spans="17:17" x14ac:dyDescent="0.2">
      <c r="Q204" s="79"/>
    </row>
    <row r="205" spans="17:17" x14ac:dyDescent="0.2">
      <c r="Q205" s="79"/>
    </row>
    <row r="206" spans="17:17" x14ac:dyDescent="0.2">
      <c r="Q206" s="79"/>
    </row>
    <row r="207" spans="17:17" x14ac:dyDescent="0.2">
      <c r="Q207" s="79"/>
    </row>
    <row r="208" spans="17:17" x14ac:dyDescent="0.2">
      <c r="Q208" s="79"/>
    </row>
    <row r="209" spans="17:17" x14ac:dyDescent="0.2">
      <c r="Q209" s="79"/>
    </row>
    <row r="210" spans="17:17" x14ac:dyDescent="0.2">
      <c r="Q210" s="79"/>
    </row>
    <row r="211" spans="17:17" x14ac:dyDescent="0.2">
      <c r="Q211" s="79"/>
    </row>
    <row r="212" spans="17:17" x14ac:dyDescent="0.2">
      <c r="Q212" s="79"/>
    </row>
    <row r="213" spans="17:17" x14ac:dyDescent="0.2">
      <c r="Q213" s="79"/>
    </row>
    <row r="214" spans="17:17" x14ac:dyDescent="0.2">
      <c r="Q214" s="79"/>
    </row>
    <row r="215" spans="17:17" x14ac:dyDescent="0.2">
      <c r="Q215" s="79"/>
    </row>
    <row r="216" spans="17:17" x14ac:dyDescent="0.2">
      <c r="Q216" s="79"/>
    </row>
    <row r="217" spans="17:17" x14ac:dyDescent="0.2">
      <c r="Q217" s="79"/>
    </row>
    <row r="218" spans="17:17" x14ac:dyDescent="0.2">
      <c r="Q218" s="79"/>
    </row>
    <row r="219" spans="17:17" x14ac:dyDescent="0.2">
      <c r="Q219" s="79"/>
    </row>
    <row r="220" spans="17:17" x14ac:dyDescent="0.2">
      <c r="Q220" s="79"/>
    </row>
    <row r="221" spans="17:17" x14ac:dyDescent="0.2">
      <c r="Q221" s="79"/>
    </row>
    <row r="222" spans="17:17" x14ac:dyDescent="0.2">
      <c r="Q222" s="79"/>
    </row>
    <row r="223" spans="17:17" x14ac:dyDescent="0.2">
      <c r="Q223" s="79"/>
    </row>
    <row r="224" spans="17:17" x14ac:dyDescent="0.2">
      <c r="Q224" s="79"/>
    </row>
    <row r="225" spans="17:17" x14ac:dyDescent="0.2">
      <c r="Q225" s="79"/>
    </row>
    <row r="226" spans="17:17" x14ac:dyDescent="0.2">
      <c r="Q226" s="79"/>
    </row>
    <row r="227" spans="17:17" x14ac:dyDescent="0.2">
      <c r="Q227" s="79"/>
    </row>
    <row r="228" spans="17:17" x14ac:dyDescent="0.2">
      <c r="Q228" s="79"/>
    </row>
    <row r="229" spans="17:17" x14ac:dyDescent="0.2">
      <c r="Q229" s="79"/>
    </row>
    <row r="230" spans="17:17" x14ac:dyDescent="0.2">
      <c r="Q230" s="79"/>
    </row>
    <row r="231" spans="17:17" x14ac:dyDescent="0.2">
      <c r="Q231" s="79"/>
    </row>
    <row r="232" spans="17:17" x14ac:dyDescent="0.2">
      <c r="Q232" s="79"/>
    </row>
    <row r="233" spans="17:17" x14ac:dyDescent="0.2">
      <c r="Q233" s="79"/>
    </row>
    <row r="234" spans="17:17" x14ac:dyDescent="0.2">
      <c r="Q234" s="79"/>
    </row>
    <row r="235" spans="17:17" x14ac:dyDescent="0.2">
      <c r="Q235" s="79"/>
    </row>
    <row r="236" spans="17:17" x14ac:dyDescent="0.2">
      <c r="Q236" s="79"/>
    </row>
    <row r="237" spans="17:17" x14ac:dyDescent="0.2">
      <c r="Q237" s="79"/>
    </row>
    <row r="238" spans="17:17" x14ac:dyDescent="0.2">
      <c r="Q238" s="79"/>
    </row>
    <row r="239" spans="17:17" x14ac:dyDescent="0.2">
      <c r="Q239" s="79"/>
    </row>
    <row r="240" spans="17:17" x14ac:dyDescent="0.2">
      <c r="Q240" s="79"/>
    </row>
    <row r="241" spans="17:17" x14ac:dyDescent="0.2">
      <c r="Q241" s="79"/>
    </row>
    <row r="242" spans="17:17" x14ac:dyDescent="0.2">
      <c r="Q242" s="79"/>
    </row>
    <row r="243" spans="17:17" x14ac:dyDescent="0.2">
      <c r="Q243" s="79"/>
    </row>
    <row r="244" spans="17:17" x14ac:dyDescent="0.2">
      <c r="Q244" s="79"/>
    </row>
    <row r="245" spans="17:17" x14ac:dyDescent="0.2">
      <c r="Q245" s="79"/>
    </row>
    <row r="246" spans="17:17" x14ac:dyDescent="0.2">
      <c r="Q246" s="79"/>
    </row>
    <row r="247" spans="17:17" x14ac:dyDescent="0.2">
      <c r="Q247" s="79"/>
    </row>
    <row r="248" spans="17:17" x14ac:dyDescent="0.2">
      <c r="Q248" s="79"/>
    </row>
    <row r="249" spans="17:17" x14ac:dyDescent="0.2">
      <c r="Q249" s="79"/>
    </row>
    <row r="250" spans="17:17" x14ac:dyDescent="0.2">
      <c r="Q250" s="79"/>
    </row>
    <row r="251" spans="17:17" x14ac:dyDescent="0.2">
      <c r="Q251" s="79"/>
    </row>
    <row r="252" spans="17:17" x14ac:dyDescent="0.2">
      <c r="Q252" s="79"/>
    </row>
    <row r="253" spans="17:17" x14ac:dyDescent="0.2">
      <c r="Q253" s="79"/>
    </row>
    <row r="254" spans="17:17" x14ac:dyDescent="0.2">
      <c r="Q254" s="79"/>
    </row>
    <row r="255" spans="17:17" x14ac:dyDescent="0.2">
      <c r="Q255" s="79"/>
    </row>
    <row r="256" spans="17:17" x14ac:dyDescent="0.2">
      <c r="Q256" s="79"/>
    </row>
    <row r="257" spans="17:17" x14ac:dyDescent="0.2">
      <c r="Q257" s="79"/>
    </row>
    <row r="258" spans="17:17" x14ac:dyDescent="0.2">
      <c r="Q258" s="79"/>
    </row>
    <row r="259" spans="17:17" x14ac:dyDescent="0.2">
      <c r="Q259" s="79"/>
    </row>
    <row r="260" spans="17:17" x14ac:dyDescent="0.2">
      <c r="Q260" s="79"/>
    </row>
    <row r="261" spans="17:17" x14ac:dyDescent="0.2">
      <c r="Q261" s="79"/>
    </row>
    <row r="262" spans="17:17" x14ac:dyDescent="0.2">
      <c r="Q262" s="79"/>
    </row>
    <row r="263" spans="17:17" x14ac:dyDescent="0.2">
      <c r="Q263" s="79"/>
    </row>
    <row r="264" spans="17:17" x14ac:dyDescent="0.2">
      <c r="Q264" s="79"/>
    </row>
    <row r="265" spans="17:17" x14ac:dyDescent="0.2">
      <c r="Q265" s="79"/>
    </row>
    <row r="266" spans="17:17" x14ac:dyDescent="0.2">
      <c r="Q266"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G17" sqref="A1:G17"/>
    </sheetView>
  </sheetViews>
  <sheetFormatPr defaultRowHeight="12.75" x14ac:dyDescent="0.2"/>
  <cols>
    <col min="1" max="1" width="17.28515625" style="209" bestFit="1" customWidth="1"/>
    <col min="2" max="2" width="18.28515625" style="209" bestFit="1" customWidth="1"/>
    <col min="3" max="3" width="24.140625" style="209" bestFit="1" customWidth="1"/>
    <col min="4" max="16384" width="9.140625" style="209"/>
  </cols>
  <sheetData>
    <row r="2" spans="1:4" ht="15" x14ac:dyDescent="0.25">
      <c r="A2" s="210"/>
      <c r="B2" s="210"/>
      <c r="C2" s="210"/>
      <c r="D2" s="212"/>
    </row>
    <row r="3" spans="1:4" ht="15" x14ac:dyDescent="0.25">
      <c r="A3" s="210"/>
      <c r="B3" s="211"/>
      <c r="C3" s="210"/>
      <c r="D3" s="212"/>
    </row>
    <row r="4" spans="1:4" ht="15" x14ac:dyDescent="0.25">
      <c r="A4" s="210"/>
      <c r="B4" s="210"/>
      <c r="C4" s="210"/>
      <c r="D4" s="212"/>
    </row>
    <row r="5" spans="1:4" ht="15" x14ac:dyDescent="0.25">
      <c r="A5" s="210"/>
      <c r="B5" s="210"/>
      <c r="C5" s="210"/>
      <c r="D5" s="212"/>
    </row>
    <row r="6" spans="1:4" ht="15" x14ac:dyDescent="0.25">
      <c r="A6" s="210"/>
      <c r="B6" s="210"/>
      <c r="C6" s="210"/>
      <c r="D6" s="212"/>
    </row>
    <row r="7" spans="1:4" ht="15" x14ac:dyDescent="0.25">
      <c r="A7" s="210"/>
      <c r="B7" s="210"/>
      <c r="C7" s="210"/>
      <c r="D7" s="212"/>
    </row>
    <row r="8" spans="1:4" ht="15" x14ac:dyDescent="0.25">
      <c r="A8" s="210"/>
      <c r="B8" s="210"/>
      <c r="C8" s="210"/>
      <c r="D8" s="212"/>
    </row>
    <row r="9" spans="1:4" ht="15" x14ac:dyDescent="0.25">
      <c r="A9" s="210"/>
      <c r="B9" s="210"/>
      <c r="C9" s="210"/>
      <c r="D9" s="212"/>
    </row>
    <row r="10" spans="1:4" ht="15" x14ac:dyDescent="0.25">
      <c r="A10" s="210"/>
      <c r="B10" s="210"/>
      <c r="C10" s="210"/>
      <c r="D10" s="212"/>
    </row>
    <row r="11" spans="1:4" ht="15" x14ac:dyDescent="0.25">
      <c r="A11" s="210"/>
      <c r="B11" s="210"/>
      <c r="C11" s="210"/>
      <c r="D11" s="212"/>
    </row>
    <row r="12" spans="1:4" ht="15" x14ac:dyDescent="0.25">
      <c r="A12" s="210"/>
      <c r="B12" s="210"/>
      <c r="C12" s="210"/>
      <c r="D12" s="212"/>
    </row>
    <row r="13" spans="1:4" ht="15" x14ac:dyDescent="0.25">
      <c r="A13" s="210"/>
      <c r="B13" s="210"/>
      <c r="C13" s="210"/>
      <c r="D13" s="2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Illustration Data Entry</vt:lpstr>
      <vt:lpstr>Illustration</vt:lpstr>
      <vt:lpstr>Calculation 1</vt:lpstr>
      <vt:lpstr>Calculation 2</vt:lpstr>
      <vt:lpstr>Calculation 3</vt:lpstr>
      <vt:lpstr>Sheet1</vt:lpstr>
      <vt:lpstr>Illustration!Print_Area</vt:lpstr>
      <vt:lpstr>'Illustration Data Entry'!Print_Area</vt:lpstr>
    </vt:vector>
  </TitlesOfParts>
  <Company>Praemium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Jestrimski</dc:creator>
  <cp:lastModifiedBy>Ben Keogh</cp:lastModifiedBy>
  <cp:lastPrinted>2014-11-12T15:38:32Z</cp:lastPrinted>
  <dcterms:created xsi:type="dcterms:W3CDTF">2008-09-04T13:39:11Z</dcterms:created>
  <dcterms:modified xsi:type="dcterms:W3CDTF">2015-01-29T10:12:29Z</dcterms:modified>
</cp:coreProperties>
</file>